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JxzQlhpXOXrV0pV8Bgm4O+tbwj9EFNJxwYbF6V9u0XLRfZwJ0pzBg8QkvV58S+xXY/FaqGxHT27on6QefaulMw==" workbookSaltValue="TGXIuBXcGFTLbuqPr7RSE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E16" i="13" s="1"/>
  <c r="BA16" i="13"/>
  <c r="AZ17" i="13"/>
  <c r="BD17" i="13" s="1"/>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1" i="13"/>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BD9" i="8"/>
  <c r="C30" i="7"/>
  <c r="AO14" i="21"/>
  <c r="AP14" i="16"/>
  <c r="T23" i="17"/>
  <c r="T26" i="17" s="1"/>
  <c r="T30" i="17" s="1"/>
  <c r="BG16" i="13"/>
  <c r="BE17" i="13"/>
  <c r="X32" i="20"/>
  <c r="G23" i="14"/>
  <c r="G30" i="14"/>
  <c r="BF18" i="8" l="1"/>
  <c r="J18" i="7" s="1"/>
  <c r="AY14" i="8"/>
  <c r="U13" i="16"/>
  <c r="H13" i="10"/>
  <c r="AS14" i="8"/>
  <c r="AS31" i="8" s="1"/>
  <c r="R13" i="17"/>
  <c r="R8" i="9"/>
  <c r="S21" i="17"/>
  <c r="X21" i="16"/>
  <c r="I13" i="14"/>
  <c r="BF17" i="8"/>
  <c r="BD12" i="8"/>
  <c r="H12" i="7" s="1"/>
  <c r="BG16" i="8"/>
  <c r="B16" i="6"/>
  <c r="T18" i="16"/>
  <c r="BH18" i="11"/>
  <c r="BH13" i="11"/>
  <c r="BJ20" i="11"/>
  <c r="BH22" i="16"/>
  <c r="BH20" i="16"/>
  <c r="AP10" i="21"/>
  <c r="BK11" i="11"/>
  <c r="BF10" i="11"/>
  <c r="V25" i="11"/>
  <c r="V11" i="16"/>
  <c r="BG10" i="11"/>
  <c r="BJ22" i="11"/>
  <c r="AP17" i="20"/>
  <c r="AZ21" i="11"/>
  <c r="V22" i="11"/>
  <c r="V29" i="11"/>
  <c r="BH28" i="16"/>
  <c r="S28" i="14"/>
  <c r="V28" i="14" s="1"/>
  <c r="BI18" i="11"/>
  <c r="BH20" i="11"/>
  <c r="V28" i="11"/>
  <c r="BK25" i="11"/>
  <c r="BM25" i="11"/>
  <c r="Q10" i="21"/>
  <c r="BI10" i="11"/>
  <c r="BG29" i="11"/>
  <c r="S9" i="17"/>
  <c r="AZ29" i="11"/>
  <c r="S18" i="16"/>
  <c r="BF25" i="11"/>
  <c r="BK12" i="11"/>
  <c r="BI28" i="11"/>
  <c r="BL18" i="11"/>
  <c r="BJ19" i="11"/>
  <c r="BF19" i="11"/>
  <c r="BH18" i="16"/>
  <c r="BL9" i="11"/>
  <c r="BH21" i="16"/>
  <c r="BF11" i="11"/>
  <c r="R13" i="14"/>
  <c r="S13" i="14"/>
  <c r="V13" i="14" s="1"/>
  <c r="S18" i="14"/>
  <c r="V18" i="14" s="1"/>
  <c r="R18" i="14"/>
  <c r="T12" i="11"/>
  <c r="T22" i="11"/>
  <c r="V13" i="16"/>
  <c r="AA28" i="16"/>
  <c r="X22" i="17"/>
  <c r="X10" i="17"/>
  <c r="X18" i="17"/>
  <c r="X18" i="20"/>
  <c r="X20" i="20"/>
  <c r="V16" i="16"/>
  <c r="V12" i="16"/>
  <c r="T19" i="20"/>
  <c r="X25" i="16"/>
  <c r="X30" i="16" s="1"/>
  <c r="S12" i="14"/>
  <c r="V12" i="14" s="1"/>
  <c r="S17" i="14"/>
  <c r="V17" i="14" s="1"/>
  <c r="R10" i="14"/>
  <c r="R17" i="14"/>
  <c r="R25" i="14"/>
  <c r="AM9" i="11"/>
  <c r="T21" i="11"/>
  <c r="T29" i="11"/>
  <c r="T9" i="11"/>
  <c r="S16" i="14"/>
  <c r="V16" i="14" s="1"/>
  <c r="T20" i="11"/>
  <c r="AA10" i="16"/>
  <c r="X12" i="17"/>
  <c r="X9" i="17"/>
  <c r="X22" i="20"/>
  <c r="V12" i="21"/>
  <c r="V18" i="16"/>
  <c r="V21" i="16"/>
  <c r="L11" i="2"/>
  <c r="U13" i="17"/>
  <c r="X16" i="16"/>
  <c r="X23"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BI18" i="16"/>
  <c r="B29" i="6"/>
  <c r="AN9" i="11"/>
  <c r="K9" i="7"/>
  <c r="AO11" i="11"/>
  <c r="AL9" i="11"/>
  <c r="H12" i="2"/>
  <c r="H10" i="2"/>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E11" i="6"/>
  <c r="E28" i="6"/>
  <c r="AL11" i="11"/>
  <c r="B11" i="6"/>
  <c r="J21" i="2"/>
  <c r="AN11" i="11"/>
  <c r="AM21" i="11"/>
  <c r="AN13" i="11"/>
  <c r="B21" i="6"/>
  <c r="J12" i="2"/>
  <c r="H9" i="2"/>
  <c r="D19" i="6"/>
  <c r="BI17" i="16"/>
  <c r="L11" i="14"/>
  <c r="E20" i="6"/>
  <c r="H16" i="2"/>
  <c r="T10" i="2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J31" i="8"/>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E17" i="6"/>
  <c r="D17" i="2"/>
  <c r="L9" i="14"/>
  <c r="C29" i="6"/>
  <c r="I29" i="12" s="1"/>
  <c r="AL10" i="11"/>
  <c r="C10" i="6"/>
  <c r="C9" i="6"/>
  <c r="E16" i="6"/>
  <c r="E23" i="2"/>
  <c r="F23" i="2" s="1"/>
  <c r="F16" i="2"/>
  <c r="AL22" i="11"/>
  <c r="H20" i="2"/>
  <c r="H18" i="7"/>
  <c r="AN18" i="11"/>
  <c r="H18" i="2"/>
  <c r="BI16" i="16"/>
  <c r="G23" i="2"/>
  <c r="J20" i="2"/>
  <c r="C20" i="6"/>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M13" i="11"/>
  <c r="J9" i="2"/>
  <c r="AO9" i="17"/>
  <c r="B22" i="6"/>
  <c r="AN22" i="11"/>
  <c r="L22" i="14"/>
  <c r="C22" i="6"/>
  <c r="J22" i="2"/>
  <c r="J20" i="7"/>
  <c r="BC33" i="21"/>
  <c r="BE14" i="19"/>
  <c r="Q31" i="19"/>
  <c r="X31" i="19"/>
  <c r="AF31" i="19"/>
  <c r="AN31" i="19"/>
  <c r="BI31" i="19"/>
  <c r="AY31" i="19"/>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J18" i="12" l="1"/>
  <c r="X12" i="21"/>
  <c r="V16" i="11"/>
  <c r="BG25" i="11"/>
  <c r="Q18" i="20"/>
  <c r="Q23" i="20" s="1"/>
  <c r="BF18" i="11"/>
  <c r="BG22" i="11"/>
  <c r="AZ19" i="11"/>
  <c r="BK21" i="11"/>
  <c r="BI25" i="11"/>
  <c r="V13" i="11"/>
  <c r="BI19" i="11"/>
  <c r="AP22" i="20"/>
  <c r="AZ13" i="11"/>
  <c r="BL25" i="11"/>
  <c r="AZ9" i="11"/>
  <c r="AO28" i="17"/>
  <c r="BL29" i="11"/>
  <c r="Q29" i="11" s="1"/>
  <c r="BJ25" i="11"/>
  <c r="T16" i="16"/>
  <c r="AZ16" i="11"/>
  <c r="AZ23" i="11" s="1"/>
  <c r="BW20" i="20"/>
  <c r="BU16" i="17"/>
  <c r="BV19" i="16"/>
  <c r="BW19" i="20"/>
  <c r="BV18" i="16"/>
  <c r="X20" i="16"/>
  <c r="BW18" i="20"/>
  <c r="BU10" i="17"/>
  <c r="BV12" i="16"/>
  <c r="BW25" i="20"/>
  <c r="BW12" i="20"/>
  <c r="BW33" i="20" s="1"/>
  <c r="BU22" i="17"/>
  <c r="BV16" i="16"/>
  <c r="BV23" i="16" s="1"/>
  <c r="BV26" i="16" s="1"/>
  <c r="BV30" i="16" s="1"/>
  <c r="BW11" i="20"/>
  <c r="BU9" i="17"/>
  <c r="BU19" i="17"/>
  <c r="BW28" i="20"/>
  <c r="BW10" i="20"/>
  <c r="BU13" i="17"/>
  <c r="BV22" i="16"/>
  <c r="BW21" i="20"/>
  <c r="BU12" i="17"/>
  <c r="BV9" i="16"/>
  <c r="AA18" i="16"/>
  <c r="AZ20" i="11"/>
  <c r="AZ12" i="11"/>
  <c r="S11" i="14"/>
  <c r="V11" i="14" s="1"/>
  <c r="AZ11"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BH9" i="16"/>
  <c r="BH16" i="16"/>
  <c r="BG20" i="11"/>
  <c r="BM12" i="11"/>
  <c r="BJ16" i="11"/>
  <c r="V20" i="11"/>
  <c r="AP26" i="21"/>
  <c r="AP18" i="20"/>
  <c r="BG21" i="11"/>
  <c r="BU25" i="17"/>
  <c r="BV28" i="16"/>
  <c r="BV13" i="16"/>
  <c r="BW13" i="20"/>
  <c r="BV21" i="16"/>
  <c r="BU29" i="17"/>
  <c r="BV11" i="16"/>
  <c r="BU20" i="17"/>
  <c r="BW29" i="20"/>
  <c r="BW22" i="20"/>
  <c r="BV29" i="16"/>
  <c r="BU17" i="17"/>
  <c r="AZ17" i="11"/>
  <c r="BF20" i="11"/>
  <c r="S16" i="16"/>
  <c r="BL20" i="11"/>
  <c r="BL16" i="11"/>
  <c r="BH21" i="11"/>
  <c r="AZ25" i="11"/>
  <c r="AZ30" i="11" s="1"/>
  <c r="BK17" i="11"/>
  <c r="BM18" i="11"/>
  <c r="BH17" i="11"/>
  <c r="AQ12" i="21"/>
  <c r="BH25" i="11"/>
  <c r="BI21" i="11"/>
  <c r="L10" i="2"/>
  <c r="L28" i="2"/>
  <c r="L12" i="2"/>
  <c r="L25" i="2"/>
  <c r="L13" i="2"/>
  <c r="X10" i="21"/>
  <c r="X31" i="21" s="1"/>
  <c r="L19" i="2"/>
  <c r="L9" i="2"/>
  <c r="V25" i="16"/>
  <c r="BF13" i="11"/>
  <c r="BF28" i="11"/>
  <c r="BK29" i="11"/>
  <c r="V11" i="11"/>
  <c r="V9" i="11"/>
  <c r="AP16" i="20"/>
  <c r="BG19" i="11"/>
  <c r="BM20" i="11"/>
  <c r="BJ28" i="11"/>
  <c r="BU28" i="17"/>
  <c r="BU11" i="17"/>
  <c r="BW9" i="20"/>
  <c r="BU21" i="17"/>
  <c r="BV17" i="16"/>
  <c r="BW17" i="20"/>
  <c r="BV25" i="16"/>
  <c r="BW16" i="20"/>
  <c r="U10" i="17"/>
  <c r="BV10" i="16"/>
  <c r="BU18" i="17"/>
  <c r="S11" i="17"/>
  <c r="BV20" i="16"/>
  <c r="AZ22" i="11"/>
  <c r="R28" i="14"/>
  <c r="X16" i="17"/>
  <c r="T17" i="11"/>
  <c r="P16" i="17"/>
  <c r="BF12" i="11"/>
  <c r="BH25" i="16"/>
  <c r="BK20" i="11"/>
  <c r="BJ10" i="11"/>
  <c r="Q16" i="17"/>
  <c r="Q23" i="17" s="1"/>
  <c r="BF16" i="11"/>
  <c r="BL22" i="11"/>
  <c r="BI22" i="11"/>
  <c r="BK10" i="11"/>
  <c r="L22" i="2"/>
  <c r="L29" i="2"/>
  <c r="L16" i="2"/>
  <c r="L17" i="2"/>
  <c r="X19" i="16"/>
  <c r="L18" i="2"/>
  <c r="L20" i="2"/>
  <c r="AA11" i="16"/>
  <c r="L21" i="2"/>
  <c r="AA9" i="16"/>
  <c r="V9" i="16"/>
  <c r="S17" i="17"/>
  <c r="U9" i="17"/>
  <c r="U31" i="17" s="1"/>
  <c r="X21" i="20"/>
  <c r="AP14" i="20"/>
  <c r="AO13" i="17"/>
  <c r="AO18" i="17"/>
  <c r="AM20" i="11"/>
  <c r="AM22" i="11"/>
  <c r="K16" i="12"/>
  <c r="AM25" i="11"/>
  <c r="AQ26" i="21"/>
  <c r="AO26" i="17"/>
  <c r="V10" i="21"/>
  <c r="AO17" i="17"/>
  <c r="P25" i="11"/>
  <c r="AO12" i="17"/>
  <c r="AM11" i="11"/>
  <c r="AO21" i="17"/>
  <c r="BH30" i="16"/>
  <c r="X22" i="16"/>
  <c r="X12" i="16"/>
  <c r="X9" i="16"/>
  <c r="X31" i="16" s="1"/>
  <c r="AZ28" i="11"/>
  <c r="S22" i="17"/>
  <c r="X17" i="20"/>
  <c r="U10" i="21"/>
  <c r="X11" i="17"/>
  <c r="X21" i="17"/>
  <c r="X17" i="17"/>
  <c r="X25" i="17"/>
  <c r="T16" i="11"/>
  <c r="S9" i="14"/>
  <c r="V9" i="14" s="1"/>
  <c r="T11" i="11"/>
  <c r="T25" i="11"/>
  <c r="T13" i="11"/>
  <c r="R29" i="14"/>
  <c r="R19" i="14"/>
  <c r="R12" i="14"/>
  <c r="S29" i="14"/>
  <c r="V29" i="14" s="1"/>
  <c r="S19" i="14"/>
  <c r="V19" i="14" s="1"/>
  <c r="S13" i="17"/>
  <c r="V16" i="20"/>
  <c r="V23" i="20" s="1"/>
  <c r="V26" i="20" s="1"/>
  <c r="V19" i="16"/>
  <c r="V10" i="16"/>
  <c r="AA12" i="21"/>
  <c r="X19" i="20"/>
  <c r="T18" i="20"/>
  <c r="AA16" i="16"/>
  <c r="X13" i="17"/>
  <c r="AA17" i="16"/>
  <c r="AA25" i="16"/>
  <c r="T28" i="11"/>
  <c r="T19" i="11"/>
  <c r="R22" i="14"/>
  <c r="R11" i="14"/>
  <c r="S21" i="14"/>
  <c r="V21" i="14" s="1"/>
  <c r="S10" i="14"/>
  <c r="V10" i="14" s="1"/>
  <c r="T18" i="11"/>
  <c r="BH11" i="16"/>
  <c r="S20" i="14"/>
  <c r="V20" i="14" s="1"/>
  <c r="BK13" i="11"/>
  <c r="BH16" i="11"/>
  <c r="BH19" i="16"/>
  <c r="P18" i="17"/>
  <c r="BM29" i="11"/>
  <c r="BF29" i="11"/>
  <c r="BH19" i="11"/>
  <c r="BK19" i="11"/>
  <c r="BK9" i="11"/>
  <c r="BK14" i="11" s="1"/>
  <c r="BK16" i="11"/>
  <c r="BK23" i="11" s="1"/>
  <c r="BJ21" i="11"/>
  <c r="V21" i="11"/>
  <c r="BF22" i="11"/>
  <c r="BH9" i="11"/>
  <c r="BI16" i="11"/>
  <c r="BJ29" i="11"/>
  <c r="BM13" i="11"/>
  <c r="BJ12" i="11"/>
  <c r="BG9" i="11"/>
  <c r="BL11" i="11"/>
  <c r="R18" i="20"/>
  <c r="R23" i="20" s="1"/>
  <c r="BL21" i="11"/>
  <c r="Q21" i="11" s="1"/>
  <c r="BK18" i="11"/>
  <c r="BL19" i="11"/>
  <c r="BJ18" i="11"/>
  <c r="BM17" i="11"/>
  <c r="BF21" i="11"/>
  <c r="BF17" i="11"/>
  <c r="P17" i="11" s="1"/>
  <c r="BL12" i="11"/>
  <c r="AZ18" i="11"/>
  <c r="AP21" i="20"/>
  <c r="BJ11" i="11"/>
  <c r="R10" i="21"/>
  <c r="R14" i="21" s="1"/>
  <c r="R31" i="21" s="1"/>
  <c r="BG16" i="11"/>
  <c r="BL13" i="11"/>
  <c r="BM16" i="11"/>
  <c r="S25" i="17"/>
  <c r="AA29" i="16"/>
  <c r="X13" i="16"/>
  <c r="S16" i="17"/>
  <c r="AA20" i="16"/>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BV14" i="16"/>
  <c r="D31" i="12"/>
  <c r="I18" i="12"/>
  <c r="P21" i="11"/>
  <c r="P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U26" i="17" s="1"/>
  <c r="AA13" i="16"/>
  <c r="AA19" i="16"/>
  <c r="X18" i="16"/>
  <c r="V28" i="16"/>
  <c r="R20" i="14"/>
  <c r="AA10" i="21"/>
  <c r="J28" i="2"/>
  <c r="D14" i="3"/>
  <c r="N31" i="8"/>
  <c r="G31" i="7" s="1"/>
  <c r="G30" i="7"/>
  <c r="BG13" i="8"/>
  <c r="K13" i="7" s="1"/>
  <c r="BD13" i="8"/>
  <c r="H13" i="7" s="1"/>
  <c r="AM23" i="11"/>
  <c r="B26" i="6"/>
  <c r="AP31" i="20"/>
  <c r="BH12" i="11"/>
  <c r="BM19" i="11"/>
  <c r="BG28" i="11"/>
  <c r="S12" i="17"/>
  <c r="AO23" i="17"/>
  <c r="AM28" i="11"/>
  <c r="BM28" i="1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P23" i="17"/>
  <c r="P31" i="17" s="1"/>
  <c r="AZ14" i="11"/>
  <c r="AZ31" i="11"/>
  <c r="Q28" i="11"/>
  <c r="BH14" i="11"/>
  <c r="U14" i="17"/>
  <c r="X14" i="16"/>
  <c r="P13" i="11"/>
  <c r="Q13" i="11"/>
  <c r="AZ26"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<sst xmlns="http://schemas.openxmlformats.org/spreadsheetml/2006/main" count="2682" uniqueCount="1193">
  <si>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</si>
  <si>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</si>
  <si>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</si>
  <si>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</si>
  <si>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</si>
  <si>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</si>
  <si>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</si>
  <si>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</si>
  <si>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</si>
  <si>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</si>
  <si>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</si>
  <si>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</si>
  <si>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</si>
  <si>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</si>
  <si>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</si>
  <si>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</si>
  <si>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</si>
  <si>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</si>
  <si>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</si>
  <si>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</si>
  <si>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</si>
  <si>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</si>
  <si>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</si>
  <si>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</si>
  <si>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</si>
  <si>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</si>
  <si>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</si>
  <si>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</si>
  <si>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</si>
  <si>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</si>
  <si>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</si>
  <si>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</si>
  <si>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</si>
  <si>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</si>
  <si>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</si>
  <si>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</si>
  <si>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</si>
  <si>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</si>
  <si>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</si>
  <si>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</si>
  <si>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</si>
  <si>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</si>
  <si>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</si>
  <si>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</si>
  <si>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</si>
  <si>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</si>
  <si>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</si>
  <si>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</si>
  <si>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</si>
  <si>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</si>
  <si>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</si>
  <si>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</si>
  <si>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</si>
  <si>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</si>
  <si>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</si>
  <si>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</si>
  <si>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</si>
  <si>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</si>
  <si>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</si>
  <si>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</si>
  <si>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</si>
  <si>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</si>
  <si>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</si>
  <si>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</si>
  <si>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</si>
  <si>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</si>
  <si>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</si>
  <si>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</si>
  <si>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</si>
  <si>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</si>
  <si>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</si>
  <si>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</si>
  <si>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</si>
  <si>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</si>
  <si>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</si>
  <si>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</si>
  <si>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</si>
  <si>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</si>
  <si>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</si>
  <si>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</si>
  <si>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</si>
  <si>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</si>
  <si>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</si>
  <si>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</si>
  <si>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</si>
  <si>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</si>
  <si>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</si>
  <si>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</si>
  <si>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</si>
  <si>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</si>
  <si>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</si>
  <si>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</si>
  <si>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</si>
  <si>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</si>
  <si>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</si>
  <si>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</si>
  <si>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</si>
  <si>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</si>
  <si>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</si>
  <si>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</si>
  <si>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</si>
  <si>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</si>
  <si>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</si>
  <si>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</si>
  <si>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</si>
  <si>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</si>
  <si>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</si>
  <si>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</si>
  <si>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</si>
  <si>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</si>
  <si>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</si>
  <si>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</si>
  <si>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</si>
  <si>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</si>
  <si>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</si>
  <si>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</si>
  <si>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</si>
  <si>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</si>
  <si>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</si>
  <si>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</si>
  <si>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</si>
  <si>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</si>
  <si>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</si>
  <si>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</si>
  <si>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</si>
  <si>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</si>
  <si>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</si>
  <si>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</si>
  <si>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</si>
  <si>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</si>
  <si>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</si>
  <si>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</si>
  <si>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</si>
  <si>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</si>
  <si>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</si>
  <si>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</si>
  <si>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</si>
  <si>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</si>
  <si>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</si>
  <si>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</si>
  <si>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</si>
  <si>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</si>
  <si>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</si>
  <si>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</si>
  <si>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</si>
  <si>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</si>
  <si>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</si>
  <si>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</si>
  <si>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</si>
  <si>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</si>
  <si>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</si>
  <si>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</si>
  <si>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</si>
  <si>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</si>
  <si>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</si>
  <si>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</si>
  <si>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</si>
  <si>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</si>
  <si>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</si>
  <si>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</si>
  <si>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</si>
  <si>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</si>
  <si>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</si>
  <si>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</si>
  <si>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</si>
  <si>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</si>
  <si>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</si>
  <si>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</si>
  <si>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</si>
  <si>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</si>
  <si>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</si>
  <si>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</si>
  <si>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</si>
  <si>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</si>
  <si>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</si>
  <si>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</si>
  <si>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</si>
  <si>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</si>
  <si>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</si>
  <si>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</si>
  <si>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</si>
  <si>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</si>
  <si>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</si>
  <si>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</si>
  <si>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</si>
  <si>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</si>
  <si>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</si>
  <si>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</si>
  <si>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</si>
  <si>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</si>
  <si>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</si>
  <si>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</si>
  <si>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</si>
  <si>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</si>
  <si>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</si>
  <si>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</si>
  <si>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</si>
  <si>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</si>
  <si>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</si>
  <si>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</si>
  <si>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</si>
  <si>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</si>
  <si>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</si>
  <si>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</si>
  <si>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</si>
  <si>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</si>
  <si>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</si>
  <si>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</si>
  <si>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</si>
  <si>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</si>
  <si>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</si>
  <si>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</si>
  <si>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</si>
  <si>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</si>
  <si>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</si>
  <si>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</si>
  <si>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</si>
  <si>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</si>
  <si>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</si>
  <si>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</si>
  <si>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</si>
  <si>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</si>
  <si>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</si>
  <si>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</si>
  <si>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</si>
  <si>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</si>
  <si>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</si>
  <si>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</si>
  <si>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</si>
  <si>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</si>
  <si>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</si>
  <si>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</si>
  <si>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</si>
  <si>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</si>
  <si>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</si>
  <si>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</si>
  <si>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</si>
  <si>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</si>
  <si>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</si>
  <si>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</si>
  <si>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</si>
  <si>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</si>
  <si>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</si>
  <si>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</si>
  <si>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</si>
  <si>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</si>
  <si>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</si>
  <si>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</si>
  <si>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</si>
  <si>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</si>
  <si>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</si>
  <si>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</si>
  <si>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</si>
  <si>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</si>
  <si>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</si>
  <si>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</si>
  <si>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</si>
  <si>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</si>
  <si>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</si>
  <si>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</si>
  <si>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</si>
  <si>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</si>
  <si>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</si>
  <si>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</si>
  <si>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</si>
  <si>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</si>
  <si>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</si>
  <si>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</si>
  <si>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</si>
  <si>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</si>
  <si>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</si>
  <si>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</si>
  <si>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</si>
  <si>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</si>
  <si>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</si>
  <si>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</si>
  <si>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</si>
  <si>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</si>
  <si>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</si>
  <si>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</si>
  <si>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</si>
  <si>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</si>
  <si>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</si>
  <si>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</si>
  <si>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</si>
  <si>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</si>
  <si>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</si>
  <si>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</si>
  <si>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</si>
  <si>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</si>
  <si>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</si>
  <si>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</si>
  <si>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</si>
  <si>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</si>
  <si>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</si>
  <si>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</si>
  <si>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</si>
  <si>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</si>
  <si>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</si>
  <si>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</si>
  <si>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</si>
  <si>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</si>
  <si>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</si>
  <si>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</si>
  <si>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</si>
  <si>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</si>
  <si>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</si>
  <si>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</si>
  <si>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</si>
  <si>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</si>
  <si>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</si>
  <si>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</si>
  <si>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</si>
  <si>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</si>
  <si>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</si>
  <si>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</si>
  <si>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</si>
  <si>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</si>
  <si>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</si>
  <si>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</si>
  <si>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</si>
  <si>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</si>
  <si>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</si>
  <si>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</si>
  <si>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</si>
  <si>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</si>
  <si>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</si>
  <si>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</si>
  <si>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</si>
  <si>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</si>
  <si>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</si>
  <si>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</si>
  <si>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</si>
  <si>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</si>
  <si>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</si>
  <si>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</si>
  <si>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</si>
  <si>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</si>
  <si>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</si>
  <si>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</si>
  <si>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</si>
  <si>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</si>
  <si>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</si>
  <si>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</si>
  <si>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</si>
  <si>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</si>
  <si>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</si>
  <si>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</si>
  <si>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</si>
  <si>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</si>
  <si>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</si>
  <si>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</si>
  <si>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</si>
  <si>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</si>
  <si>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</si>
  <si>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</si>
  <si>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</si>
  <si>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</si>
  <si>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</si>
  <si>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</si>
  <si>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</si>
  <si>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</si>
  <si>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</si>
  <si>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</si>
  <si>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</si>
  <si>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</si>
  <si>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</si>
  <si>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</si>
  <si>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</si>
  <si>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</si>
  <si>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</si>
  <si>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</si>
  <si>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</si>
  <si>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</si>
  <si>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</si>
  <si>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</si>
  <si>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</si>
  <si>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</si>
  <si>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</si>
  <si>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</si>
  <si>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</si>
  <si>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</si>
  <si>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</si>
  <si>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</si>
  <si>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</si>
  <si>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</si>
  <si>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</si>
  <si>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</si>
  <si>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</si>
  <si>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</si>
  <si>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</si>
  <si>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</si>
  <si>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</si>
  <si>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</si>
  <si>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</si>
  <si>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</si>
  <si>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</si>
  <si>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</si>
  <si>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</si>
  <si>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</si>
  <si>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</si>
  <si>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</si>
  <si>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</si>
  <si>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</si>
  <si>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</si>
  <si>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</si>
  <si>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</si>
  <si>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</si>
  <si>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</si>
  <si>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</si>
  <si>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</si>
  <si>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</si>
  <si>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</si>
  <si>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</si>
  <si>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</si>
  <si>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</si>
  <si>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</si>
  <si>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</si>
  <si>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</si>
  <si>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</si>
  <si>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</si>
  <si>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</si>
  <si>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</si>
  <si>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</si>
  <si>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</si>
  <si>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</si>
  <si>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</si>
  <si>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</si>
  <si>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</si>
  <si>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</si>
  <si>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</si>
  <si>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</si>
  <si>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</si>
  <si>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</si>
  <si>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</si>
  <si>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</si>
  <si>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</si>
  <si>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</si>
  <si>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</si>
  <si>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</si>
  <si>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</si>
  <si>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</si>
  <si>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</si>
  <si>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</si>
  <si>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</si>
  <si>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</si>
  <si>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</si>
  <si>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</si>
  <si>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</si>
  <si>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</si>
  <si>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</si>
  <si>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</si>
  <si>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</si>
  <si>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</si>
  <si>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</si>
  <si>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</si>
  <si>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</si>
  <si>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</si>
  <si>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</si>
  <si>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</si>
  <si>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</si>
  <si>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</si>
  <si>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</si>
  <si>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</si>
  <si>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</si>
  <si>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</si>
  <si>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</si>
  <si>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</si>
  <si>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</si>
  <si>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</si>
  <si>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</si>
  <si>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</si>
  <si>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</si>
  <si>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</si>
  <si>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</si>
  <si>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</si>
  <si>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</si>
  <si>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</si>
  <si>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</si>
  <si>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</si>
  <si>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</si>
  <si>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</si>
  <si>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</si>
  <si>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</si>
  <si>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</si>
  <si>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</si>
  <si>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</si>
  <si>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</si>
  <si>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</si>
  <si>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</si>
  <si>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</si>
  <si>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</si>
  <si>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</si>
  <si>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</si>
  <si>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</si>
  <si>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</si>
  <si>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</si>
  <si>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</si>
  <si>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</si>
  <si>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</si>
  <si>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</si>
  <si>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</si>
  <si>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</si>
  <si>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</si>
  <si>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</si>
  <si>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</si>
  <si>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</si>
  <si>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</si>
  <si>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</si>
  <si>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</si>
  <si>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</si>
  <si>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</si>
  <si>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</si>
  <si>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</si>
  <si>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</si>
  <si>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</si>
  <si>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</si>
  <si>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</si>
  <si>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</si>
  <si>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</si>
  <si>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</si>
  <si>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</si>
  <si>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</si>
  <si>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</si>
  <si>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</si>
  <si>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</si>
  <si>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</si>
  <si>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</si>
  <si>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</si>
  <si>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</si>
  <si>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</si>
  <si>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</si>
  <si>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</si>
  <si>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</si>
  <si>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</si>
  <si>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</si>
  <si>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</si>
  <si>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</si>
  <si>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</si>
  <si>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</si>
  <si>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</si>
  <si>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</si>
  <si>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</si>
  <si>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</si>
  <si>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</si>
  <si>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</si>
  <si>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</si>
  <si>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</si>
  <si>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</si>
  <si>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</si>
  <si>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</si>
  <si>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</si>
  <si>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</si>
  <si>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</si>
  <si>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</si>
  <si>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</si>
  <si>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</si>
  <si>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</si>
  <si>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</si>
  <si>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</si>
  <si>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</si>
  <si>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</si>
  <si>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</si>
  <si>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</si>
  <si>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</si>
  <si>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</si>
  <si>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</si>
  <si>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</si>
  <si>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</si>
  <si>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</si>
  <si>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</si>
  <si>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</si>
  <si>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</si>
  <si>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</si>
  <si>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</si>
  <si>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</si>
  <si>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</si>
  <si>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</si>
  <si>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</si>
  <si>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</si>
  <si>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</si>
  <si>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</si>
  <si>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</si>
  <si>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</si>
  <si>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</si>
  <si>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</si>
  <si>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</si>
  <si>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</si>
  <si>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</si>
  <si>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</si>
  <si>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</si>
  <si>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</si>
  <si>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</si>
  <si>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</si>
  <si>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</si>
  <si>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</si>
  <si>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</si>
  <si>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</si>
  <si>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</si>
  <si>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</si>
  <si>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</si>
  <si>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</si>
  <si>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</si>
  <si>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</si>
  <si>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</si>
  <si>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</si>
  <si>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</si>
  <si>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</si>
  <si>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</si>
  <si>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</si>
  <si>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</si>
  <si>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</si>
  <si>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</si>
  <si>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</si>
  <si>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</si>
  <si>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</si>
  <si>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</si>
  <si>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</si>
  <si>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</si>
  <si>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</si>
  <si>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</si>
  <si>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</si>
  <si>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</si>
  <si>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</si>
  <si>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</si>
  <si>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</si>
  <si>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</si>
  <si>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</si>
  <si>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</si>
  <si>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</si>
  <si>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</si>
  <si>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</si>
  <si>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</si>
  <si>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</si>
  <si>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</si>
  <si>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</si>
  <si>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</si>
  <si>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</si>
  <si>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</si>
  <si>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</si>
  <si>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</si>
  <si>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</si>
  <si>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</si>
  <si>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</si>
  <si>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</si>
  <si>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</si>
  <si>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</si>
  <si>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</si>
  <si>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</si>
  <si>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</si>
  <si>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</si>
  <si>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</si>
  <si>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</si>
  <si>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</si>
  <si>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</si>
  <si>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</si>
  <si>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</si>
  <si>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</si>
  <si>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</si>
  <si>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</si>
  <si>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</si>
  <si>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</si>
  <si>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</si>
  <si>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</si>
  <si>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</si>
  <si>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</si>
  <si>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</si>
  <si>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</si>
  <si>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</si>
  <si>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</si>
  <si>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</si>
  <si>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</si>
  <si>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</si>
  <si>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</si>
  <si>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</si>
  <si>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</si>
  <si>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</si>
  <si>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</si>
  <si>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</si>
  <si>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</si>
  <si>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</si>
  <si>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</si>
  <si>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</si>
  <si>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</si>
  <si>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</si>
  <si>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</si>
  <si>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</si>
  <si>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</si>
  <si>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</si>
  <si>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</si>
  <si>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</si>
  <si>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</si>
  <si>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</si>
  <si>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</si>
  <si>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</si>
  <si>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</si>
  <si>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</si>
  <si>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</si>
  <si>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</si>
  <si>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</si>
  <si>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</si>
  <si>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</si>
  <si>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</si>
  <si>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</si>
  <si>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</si>
  <si>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</si>
  <si>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</si>
  <si>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</si>
  <si>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</si>
  <si>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</si>
  <si>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</si>
  <si>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</si>
  <si>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</si>
  <si>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</si>
  <si>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</si>
  <si>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</si>
  <si>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</si>
  <si>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</si>
  <si>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</si>
  <si>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</si>
  <si>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</si>
  <si>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</si>
  <si>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</si>
  <si>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</si>
  <si>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</si>
  <si>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</si>
  <si>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</si>
  <si>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</si>
  <si>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</si>
  <si>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</si>
  <si>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</si>
  <si>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</si>
  <si>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</si>
  <si>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</si>
  <si>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</si>
  <si>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</si>
  <si>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</si>
  <si>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</si>
  <si>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</si>
  <si>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</si>
  <si>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</si>
  <si>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</si>
  <si>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</si>
  <si>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</si>
  <si>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</si>
  <si>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</si>
  <si>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</si>
  <si>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</si>
  <si>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</si>
  <si>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</si>
  <si>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</si>
  <si>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</si>
  <si>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</si>
  <si>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</si>
  <si>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</si>
  <si>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</si>
  <si>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</si>
  <si>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</si>
  <si>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</si>
  <si>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</si>
  <si>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</si>
  <si>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</si>
  <si>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</si>
  <si>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</si>
  <si>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</si>
  <si>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</si>
  <si>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</si>
  <si>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</si>
  <si>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</si>
  <si>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</si>
  <si>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</si>
  <si>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</si>
  <si>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</si>
  <si>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</si>
  <si>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</si>
  <si>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</si>
  <si>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</si>
  <si>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</si>
  <si>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</si>
  <si>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</si>
  <si>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</si>
  <si>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</si>
  <si>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</si>
  <si>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</si>
  <si>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</si>
  <si>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</si>
  <si>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</si>
  <si>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</si>
  <si>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</si>
  <si>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</si>
  <si>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</si>
  <si>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</si>
  <si>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</si>
  <si>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</si>
  <si>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</si>
  <si>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</si>
  <si>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</si>
  <si>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</si>
  <si>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</si>
  <si>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</si>
  <si>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</si>
  <si>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</si>
  <si>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</si>
  <si>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</si>
  <si>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</si>
  <si>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</si>
  <si>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</si>
  <si>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</si>
  <si>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</si>
  <si>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</si>
  <si>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</si>
  <si>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</si>
  <si>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</si>
  <si>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</si>
  <si>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</si>
  <si>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</si>
  <si>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</si>
  <si>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</si>
  <si>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</si>
  <si>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</si>
  <si>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</si>
  <si>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</si>
  <si>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</si>
  <si>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</si>
  <si>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</si>
  <si>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</si>
  <si>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</si>
  <si>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</si>
  <si>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</si>
  <si>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</si>
  <si>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</si>
  <si>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</si>
  <si>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</si>
  <si>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</si>
  <si>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</si>
  <si>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</si>
  <si>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</si>
  <si>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</si>
  <si>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</si>
  <si>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</si>
  <si>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</si>
  <si>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</si>
  <si>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</si>
  <si>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</si>
  <si>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</si>
  <si>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</si>
  <si>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</si>
  <si>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</si>
  <si>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</si>
  <si>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</si>
  <si>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</si>
  <si>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</si>
  <si>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</si>
  <si>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</si>
  <si>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</si>
  <si>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</si>
  <si>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</si>
  <si>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</si>
  <si>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</si>
  <si>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</si>
  <si>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</si>
  <si>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</si>
  <si>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</si>
  <si>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</si>
  <si>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</si>
  <si>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</si>
  <si>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</si>
  <si>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</si>
  <si>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</si>
  <si>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</si>
  <si>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</si>
  <si>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</si>
  <si>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</si>
  <si>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</si>
  <si>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</si>
  <si>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</si>
  <si>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</si>
  <si>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</si>
  <si>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</si>
  <si>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</si>
  <si>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</si>
  <si>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</si>
  <si>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</si>
  <si>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</si>
  <si>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</si>
  <si>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</si>
  <si>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</si>
  <si>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</si>
  <si>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</si>
  <si>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</si>
  <si>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</si>
  <si>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</si>
  <si>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</si>
  <si>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</si>
  <si>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</si>
  <si>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</si>
  <si>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</si>
  <si>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</si>
  <si>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</si>
  <si>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</si>
  <si>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</si>
  <si>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</si>
  <si>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</si>
  <si>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</si>
  <si>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</si>
  <si>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</si>
  <si>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</si>
  <si>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</si>
  <si>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</si>
  <si>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</si>
  <si>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</si>
  <si>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</si>
  <si>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</si>
  <si>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</si>
  <si>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</si>
  <si>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</si>
  <si>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</si>
  <si>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</si>
  <si>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</si>
  <si>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</si>
  <si>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</si>
  <si>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</si>
  <si>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</si>
  <si>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</si>
  <si>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</si>
  <si>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</si>
  <si>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</si>
  <si>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</si>
  <si>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</si>
  <si>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</si>
  <si>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</si>
  <si>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</si>
  <si>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</si>
  <si>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</si>
  <si>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</si>
  <si>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</si>
  <si>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</si>
  <si>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</si>
  <si>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</si>
  <si>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</si>
  <si>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</si>
  <si>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</si>
  <si>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</si>
  <si>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</si>
  <si>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</si>
  <si>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</si>
  <si>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</si>
  <si>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</si>
  <si>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</si>
  <si>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</si>
  <si>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</si>
  <si>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</si>
  <si>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</si>
  <si>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</si>
  <si>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</si>
  <si>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</si>
  <si>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</si>
  <si>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</si>
  <si>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</si>
  <si>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</si>
  <si>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</si>
  <si>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</si>
  <si>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</si>
  <si>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</si>
  <si>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</si>
  <si>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</si>
  <si>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</si>
  <si>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</si>
  <si>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</si>
  <si>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</si>
  <si>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</si>
  <si>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</si>
  <si>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</si>
  <si>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</si>
  <si>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</si>
  <si>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</si>
  <si>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</si>
  <si>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</si>
  <si>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</si>
  <si>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</si>
  <si>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</si>
  <si>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</si>
  <si>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</si>
  <si>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</si>
  <si>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</si>
  <si>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</si>
  <si>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</si>
  <si>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</si>
  <si>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</si>
  <si>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</si>
  <si>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</si>
  <si>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</si>
  <si>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</si>
  <si>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</si>
  <si>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</si>
  <si>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</si>
  <si>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</si>
  <si>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</si>
  <si>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</si>
  <si>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</si>
  <si>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</si>
  <si>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</si>
  <si>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</si>
  <si>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</si>
  <si>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</si>
  <si>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</si>
  <si>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</si>
  <si>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</si>
  <si>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</si>
  <si>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</si>
  <si>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</si>
  <si>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</si>
  <si>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</si>
  <si>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</si>
  <si>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</si>
  <si>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</si>
  <si>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</si>
  <si>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</si>
  <si>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</si>
  <si>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</si>
  <si>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</si>
  <si>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</si>
  <si>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</si>
  <si>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</si>
  <si>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</si>
  <si>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</si>
  <si>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</si>
  <si>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</si>
  <si>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</si>
  <si>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</si>
  <si>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</si>
  <si>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</si>
  <si>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</si>
  <si>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</si>
  <si>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</si>
  <si>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</si>
  <si>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</si>
  <si>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</si>
  <si>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</si>
  <si>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</si>
  <si>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</si>
  <si>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</si>
  <si>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</si>
  <si>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</si>
  <si>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</si>
  <si>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</si>
  <si>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</si>
  <si>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</si>
  <si>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</si>
  <si>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</si>
  <si>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</si>
  <si>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</si>
  <si>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</si>
  <si>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</si>
  <si>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</si>
  <si>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</si>
  <si>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</si>
  <si>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</si>
  <si>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</si>
  <si>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</si>
  <si>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</si>
  <si>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</si>
  <si>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</si>
  <si>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</si>
  <si>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</si>
  <si>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</si>
  <si>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</si>
  <si>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</si>
  <si>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</si>
  <si>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</si>
  <si>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</si>
  <si>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</si>
  <si>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</si>
  <si>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</si>
  <si>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</si>
  <si>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</si>
  <si>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</si>
  <si>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</si>
  <si>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</si>
  <si>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</si>
  <si>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</si>
  <si>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</si>
  <si>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</si>
  <si>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</si>
  <si>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</si>
  <si>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</si>
  <si>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</si>
  <si>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</si>
  <si>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</si>
  <si>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</si>
  <si>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</si>
  <si>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</si>
  <si>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</si>
  <si>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</si>
  <si>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</si>
  <si>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</si>
  <si>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</si>
  <si>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</si>
  <si>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</si>
  <si>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</si>
  <si>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</si>
  <si>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</si>
  <si>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</si>
  <si>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</si>
  <si>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</si>
  <si>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</si>
  <si>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</si>
  <si>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</si>
  <si>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</si>
  <si>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</si>
  <si>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</si>
  <si>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</si>
  <si>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</si>
  <si>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</si>
  <si>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</si>
  <si>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</si>
  <si>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</si>
  <si>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</si>
  <si>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</si>
  <si>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</si>
  <si>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</si>
  <si>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</si>
  <si>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</si>
  <si>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</si>
  <si>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</si>
  <si>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</si>
  <si>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</si>
  <si>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</si>
  <si>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</si>
  <si>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</si>
  <si>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</si>
  <si>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</si>
  <si>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</si>
  <si>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</si>
  <si>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</si>
  <si>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</si>
  <si>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</si>
  <si>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</si>
  <si>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</si>
  <si>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</si>
  <si>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</si>
  <si>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</si>
  <si>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</si>
  <si>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</si>
  <si>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</si>
  <si>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</si>
  <si>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</si>
  <si>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</si>
  <si>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</si>
  <si>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</si>
  <si>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</si>
  <si>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</si>
  <si>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</si>
  <si>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</si>
  <si>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</si>
  <si>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</si>
  <si>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</si>
  <si>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</si>
  <si>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</si>
  <si>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</si>
  <si>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</si>
  <si>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</si>
  <si>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</si>
  <si>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</si>
  <si>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</si>
  <si>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</si>
  <si>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</si>
  <si>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</si>
  <si>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</si>
  <si>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</si>
  <si>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</si>
  <si>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</si>
  <si>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</si>
  <si>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</si>
  <si>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</si>
  <si>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</si>
  <si>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</si>
  <si>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</si>
  <si>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</si>
  <si>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</si>
  <si>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</si>
  <si>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</si>
  <si>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</si>
  <si>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</si>
  <si>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</si>
  <si>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</si>
  <si>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</si>
  <si>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</si>
  <si>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</si>
  <si>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</si>
  <si>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SANTA CRUZ DE TENERIFE</t>
  </si>
  <si>
    <t>Resumenes por Partidos Judiciales</t>
  </si>
  <si>
    <t>LOS LLANOS DE ARIDANE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</si>
</sst>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vFBqrI7ouDW3iPhqfWypTmLlbAmYd+fVzNZOPkR4J2wuZ3wlCilgH4O2m9HxihUb28atHu2hg6NxUyM/We5fQ==" saltValue="Qu/TiDjgChIn1+/8bz8B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10</v>
      </c>
      <c r="F10" s="240">
        <f>IF(ISNUMBER(Datos!K10),Datos!K10," - ")</f>
        <v>9</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3.6666666666666665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14.308943089430894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10</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426</v>
      </c>
      <c r="D17" s="239">
        <f>IF(ISNUMBER(IF(D_I="SI",Datos!I17,Datos!I17+Datos!AC17)),IF(D_I="SI",Datos!I17,Datos!I17+Datos!AC17)," - ")</f>
        <v>433</v>
      </c>
      <c r="E17" s="240">
        <f>IF(ISNUMBER(IF(D_I="SI",Datos!J17,Datos!J17+Datos!AD17)),IF(D_I="SI",Datos!J17,Datos!J17+Datos!AD17)," - ")</f>
        <v>2624</v>
      </c>
      <c r="F17" s="240">
        <f>IF(ISNUMBER(IF(D_I="SI",Datos!K17,Datos!K17+Datos!AE17)),IF(D_I="SI",Datos!K17,Datos!K17+Datos!AE17)," - ")</f>
        <v>2590</v>
      </c>
      <c r="G17" s="1390" t="str">
        <f>IF(Datos!E17&lt;&gt;"",Datos!E17,Datos!D17)</f>
        <v>04</v>
      </c>
      <c r="H17" s="241">
        <f>IF(ISNUMBER(IF(D_I="SI",Datos!L17,Datos!L17+Datos!AF17)),IF(D_I="SI",Datos!L17,Datos!L17+Datos!AF17)," - ")</f>
        <v>460</v>
      </c>
      <c r="I17" s="1400" t="str">
        <f>IF(ISNUMBER(Datos!AS17/Datos!BM17),Datos!AS17/Datos!BM17," - ")</f>
        <v xml:space="preserve"> - </v>
      </c>
      <c r="J17" s="1401">
        <f>IF(ISNUMBER(Datos!BY17/Datos!CN17),Datos!BY17/Datos!CN17," - ")</f>
        <v>0</v>
      </c>
      <c r="K17" s="244">
        <f t="shared" si="3"/>
        <v>7.9812206572769953E-2</v>
      </c>
      <c r="L17" s="1402">
        <f>IF(ISNUMBER(NºAsuntos!I17/NºAsuntos!G17),(NºAsuntos!I17/NºAsuntos!G17)*11," - ")</f>
        <v>1.9536679536679538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360</v>
      </c>
      <c r="F18" s="240">
        <f>IF(ISNUMBER(IF(D_I="SI",Datos!K18,Datos!K18+Datos!AE18)),IF(D_I="SI",Datos!K18,Datos!K18+Datos!AE18)," - ")</f>
        <v>367</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-0.22580645161290322</v>
      </c>
      <c r="L18" s="1402">
        <f>IF(ISNUMBER(NºAsuntos!I18/NºAsuntos!G18),(NºAsuntos!I18/NºAsuntos!G18)*11," - ")</f>
        <v>0.71934604904632149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457</v>
      </c>
      <c r="D23" s="1407">
        <f>SUBTOTAL(9,D16:D22)</f>
        <v>464</v>
      </c>
      <c r="E23" s="1408">
        <f>SUBTOTAL(9,E16:E22)</f>
        <v>2984</v>
      </c>
      <c r="F23" s="1408">
        <f>SUBTOTAL(9,F16:F22)</f>
        <v>2957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459</v>
      </c>
      <c r="D31" s="1435">
        <f>SUBTOTAL(9,D9:D30)</f>
        <v>466</v>
      </c>
      <c r="E31" s="1436">
        <f>SUBTOTAL(9,E9:E30)</f>
        <v>2994</v>
      </c>
      <c r="F31" s="1436">
        <f>SUBTOTAL(9,F9:F30)</f>
        <v>2966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mJUTc82n6AVouzO82+rmYd8XHgPLpRhRlNUuTUQZyiiOk/qXXoM7RNeat9gF5/ZZkU/3AtUTtkQa8o2yHkOgrA==" saltValue="pykuwj/9fV8+FEocmLtKy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nD8EcSaBGKqwpC5muFjceJl5PAAItluwGRahE7w1sqGkzRsjZiFLBsksQ1zDAfivZht/m/540PEV0eHNlv7uw==" saltValue="wbe60cVBMr3h10piQwMy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10</v>
      </c>
      <c r="K10" s="194">
        <v>9</v>
      </c>
      <c r="L10" s="194">
        <v>3</v>
      </c>
      <c r="M10" s="194">
        <v>8</v>
      </c>
      <c r="N10" s="194">
        <v>0</v>
      </c>
      <c r="O10" s="194">
        <v>1</v>
      </c>
      <c r="P10" s="194">
        <v>2</v>
      </c>
      <c r="Q10" s="194">
        <v>1</v>
      </c>
      <c r="R10" s="194">
        <v>4</v>
      </c>
      <c r="S10" s="194">
        <v>7</v>
      </c>
      <c r="T10" s="194">
        <v>9</v>
      </c>
      <c r="U10" s="194">
        <v>14</v>
      </c>
      <c r="V10" s="194">
        <v>2</v>
      </c>
      <c r="W10" s="194">
        <v>10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9</v>
      </c>
      <c r="BA10" s="139">
        <f t="shared" si="0"/>
        <v>14</v>
      </c>
      <c r="BB10" s="139">
        <f t="shared" si="0"/>
        <v>2</v>
      </c>
      <c r="BC10" s="135">
        <f t="shared" si="0"/>
        <v>10</v>
      </c>
      <c r="BD10" s="136">
        <f>IF(ISNUMBER(BA10/AZ10),BA10/AZ10," - ")</f>
        <v>1.5555555555555556</v>
      </c>
      <c r="BE10" s="137">
        <f>IF(ISNUMBER(BB10/BA10),BB10/BA10, " - ")</f>
        <v>0.14285714285714285</v>
      </c>
      <c r="BF10" s="137">
        <f>IF(ISNUMBER(BC10/BA10),BC10/BA10, " - ")</f>
        <v>0.7142857142857143</v>
      </c>
      <c r="BG10" s="209">
        <f>IF(ISNUMBER((AY10+AZ10)/BA10),(AY10+AZ10)/BA10," - ")</f>
        <v>1.1428571428571428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834</v>
      </c>
      <c r="J12" s="196">
        <v>1266</v>
      </c>
      <c r="K12" s="196">
        <v>911</v>
      </c>
      <c r="L12" s="196">
        <v>1174</v>
      </c>
      <c r="M12" s="196">
        <v>230</v>
      </c>
      <c r="N12" s="196">
        <v>229</v>
      </c>
      <c r="O12" s="194">
        <v>522</v>
      </c>
      <c r="P12" s="196">
        <v>323</v>
      </c>
      <c r="Q12" s="196">
        <v>122</v>
      </c>
      <c r="R12" s="196">
        <v>1872</v>
      </c>
      <c r="S12" s="196">
        <v>812</v>
      </c>
      <c r="T12" s="196">
        <v>1031</v>
      </c>
      <c r="U12" s="196">
        <v>1001</v>
      </c>
      <c r="V12" s="196">
        <v>834</v>
      </c>
      <c r="W12" s="196">
        <v>249</v>
      </c>
      <c r="X12" s="202">
        <v>210</v>
      </c>
      <c r="Y12" s="204">
        <v>51</v>
      </c>
      <c r="Z12" s="194">
        <v>109</v>
      </c>
      <c r="AA12" s="194">
        <v>73</v>
      </c>
      <c r="AB12" s="194">
        <v>106</v>
      </c>
      <c r="AC12" s="196">
        <v>0</v>
      </c>
      <c r="AD12" s="196">
        <v>0</v>
      </c>
      <c r="AE12" s="196">
        <v>0</v>
      </c>
      <c r="AF12" s="202">
        <v>0</v>
      </c>
      <c r="AG12" s="215">
        <v>35</v>
      </c>
      <c r="AH12" s="196">
        <v>70</v>
      </c>
      <c r="AI12" s="196">
        <v>54</v>
      </c>
      <c r="AJ12" s="216">
        <v>51</v>
      </c>
      <c r="AK12" s="195">
        <v>0</v>
      </c>
      <c r="AL12" s="196">
        <v>0</v>
      </c>
      <c r="AM12" s="196">
        <v>0</v>
      </c>
      <c r="AN12" s="202">
        <v>0</v>
      </c>
      <c r="AO12" s="283">
        <v>2</v>
      </c>
      <c r="AP12" s="168">
        <v>2</v>
      </c>
      <c r="AQ12" s="168">
        <v>2</v>
      </c>
      <c r="AR12" s="167">
        <v>2</v>
      </c>
      <c r="AS12" s="381" t="s">
        <v>1075</v>
      </c>
      <c r="AT12" s="216"/>
      <c r="AU12" s="215"/>
      <c r="AV12" s="216"/>
      <c r="AW12" s="215"/>
      <c r="AX12" s="216"/>
      <c r="AY12" s="136">
        <f t="shared" si="1"/>
        <v>847</v>
      </c>
      <c r="AZ12" s="137">
        <f t="shared" si="1"/>
        <v>1101</v>
      </c>
      <c r="BA12" s="137">
        <f t="shared" si="1"/>
        <v>1055</v>
      </c>
      <c r="BB12" s="137">
        <f t="shared" si="1"/>
        <v>885</v>
      </c>
      <c r="BC12" s="135">
        <f>IF(ISNUMBER(X12),X12," - ")</f>
        <v>210</v>
      </c>
      <c r="BD12" s="136">
        <f t="shared" si="2"/>
        <v>0.95821980018165309</v>
      </c>
      <c r="BE12" s="137">
        <f t="shared" si="3"/>
        <v>0.83886255924170616</v>
      </c>
      <c r="BF12" s="137">
        <f t="shared" si="4"/>
        <v>0.1990521327014218</v>
      </c>
      <c r="BG12" s="209">
        <f t="shared" si="5"/>
        <v>1.8464454976303317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836</v>
      </c>
      <c r="J14" s="197">
        <f t="shared" si="7"/>
        <v>1276</v>
      </c>
      <c r="K14" s="197">
        <f t="shared" si="7"/>
        <v>920</v>
      </c>
      <c r="L14" s="197">
        <f t="shared" si="7"/>
        <v>1177</v>
      </c>
      <c r="M14" s="197">
        <f t="shared" si="7"/>
        <v>238</v>
      </c>
      <c r="N14" s="197">
        <f t="shared" si="7"/>
        <v>229</v>
      </c>
      <c r="O14" s="197">
        <f t="shared" si="7"/>
        <v>523</v>
      </c>
      <c r="P14" s="197">
        <f t="shared" si="7"/>
        <v>325</v>
      </c>
      <c r="Q14" s="197">
        <f t="shared" si="7"/>
        <v>123</v>
      </c>
      <c r="R14" s="197">
        <f t="shared" si="7"/>
        <v>1876</v>
      </c>
      <c r="S14" s="197">
        <f t="shared" si="7"/>
        <v>819</v>
      </c>
      <c r="T14" s="197">
        <f t="shared" si="7"/>
        <v>1040</v>
      </c>
      <c r="U14" s="197">
        <f t="shared" si="7"/>
        <v>1015</v>
      </c>
      <c r="V14" s="197">
        <f t="shared" si="7"/>
        <v>836</v>
      </c>
      <c r="W14" s="197">
        <f t="shared" si="7"/>
        <v>259</v>
      </c>
      <c r="X14" s="197">
        <f t="shared" si="7"/>
        <v>211</v>
      </c>
      <c r="Y14" s="197">
        <f t="shared" si="7"/>
        <v>51</v>
      </c>
      <c r="Z14" s="197">
        <f t="shared" si="7"/>
        <v>109</v>
      </c>
      <c r="AA14" s="197">
        <f t="shared" si="7"/>
        <v>73</v>
      </c>
      <c r="AB14" s="197">
        <f t="shared" si="7"/>
        <v>106</v>
      </c>
      <c r="AC14" s="197">
        <f t="shared" si="7"/>
        <v>0</v>
      </c>
      <c r="AD14" s="197">
        <f t="shared" si="7"/>
        <v>0</v>
      </c>
      <c r="AE14" s="197">
        <f t="shared" si="7"/>
        <v>0</v>
      </c>
      <c r="AF14" s="197">
        <f>SUBTOTAL(9,AF9:AF13)</f>
        <v>0</v>
      </c>
      <c r="AG14" s="197">
        <f t="shared" ref="AG14:AT14" si="8">SUBTOTAL(9,AG8:AG13)</f>
        <v>35</v>
      </c>
      <c r="AH14" s="197">
        <f t="shared" si="8"/>
        <v>70</v>
      </c>
      <c r="AI14" s="197">
        <f t="shared" si="8"/>
        <v>54</v>
      </c>
      <c r="AJ14" s="197">
        <f t="shared" si="8"/>
        <v>51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854</v>
      </c>
      <c r="AZ14" s="197">
        <f>SUBTOTAL(9,AZ8:AZ13)</f>
        <v>1110</v>
      </c>
      <c r="BA14" s="197">
        <f>SUBTOTAL(9,BA8:BA13)</f>
        <v>1069</v>
      </c>
      <c r="BB14" s="197">
        <f>SUBTOTAL(9,BB8:BB13)</f>
        <v>887</v>
      </c>
      <c r="BC14" s="197">
        <f>SUBTOTAL(9,BC8:BC13)</f>
        <v>220</v>
      </c>
      <c r="BD14" s="219">
        <f>IF(ISNUMBER(BA14/AZ14),BA14/AZ14," - ")</f>
        <v>0.96306306306306311</v>
      </c>
      <c r="BE14" s="220">
        <f>IF(ISNUMBER(BB14/BA14),BB14/BA14, " - ")</f>
        <v>0.82974742750233865</v>
      </c>
      <c r="BF14" s="220">
        <f>IF(ISNUMBER(BC14/BA14),BC14/BA14, " - ")</f>
        <v>0.205799812909261</v>
      </c>
      <c r="BG14" s="221">
        <f>IF(ISNUMBER((AY14+AZ14)/BA14),(AY14+AZ14)/BA14," - ")</f>
        <v>1.8372310570626753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433</v>
      </c>
      <c r="J17" s="196">
        <v>2624</v>
      </c>
      <c r="K17" s="196">
        <v>2590</v>
      </c>
      <c r="L17" s="196">
        <v>460</v>
      </c>
      <c r="M17" s="196">
        <v>271</v>
      </c>
      <c r="N17" s="196">
        <v>1884</v>
      </c>
      <c r="O17" s="194">
        <v>73</v>
      </c>
      <c r="P17" s="196">
        <v>51</v>
      </c>
      <c r="Q17" s="196">
        <v>73</v>
      </c>
      <c r="R17" s="196">
        <v>41</v>
      </c>
      <c r="S17" s="196">
        <v>421</v>
      </c>
      <c r="T17" s="196">
        <v>2611</v>
      </c>
      <c r="U17" s="196">
        <v>2594</v>
      </c>
      <c r="V17" s="196">
        <v>433</v>
      </c>
      <c r="W17" s="196">
        <v>247</v>
      </c>
      <c r="X17" s="202">
        <v>1829</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421</v>
      </c>
      <c r="AZ17" s="137">
        <f t="shared" si="10"/>
        <v>2611</v>
      </c>
      <c r="BA17" s="137">
        <f t="shared" si="10"/>
        <v>2594</v>
      </c>
      <c r="BB17" s="137">
        <f t="shared" si="10"/>
        <v>433</v>
      </c>
      <c r="BC17" s="135">
        <f>IF(ISNUMBER(W17),W17," - ")</f>
        <v>247</v>
      </c>
      <c r="BD17" s="136">
        <f t="shared" ref="BD17:BD22" si="12">IF(ISNUMBER(BA17/AZ17),BA17/AZ17," - ")</f>
        <v>0.99348908464189967</v>
      </c>
      <c r="BE17" s="137">
        <f t="shared" ref="BE17:BE22" si="13">IF(ISNUMBER(BB17/BA17),BB17/BA17, " - ")</f>
        <v>0.16692367000771011</v>
      </c>
      <c r="BF17" s="137">
        <f t="shared" ref="BF17:BF22" si="14">IF(ISNUMBER(BC17/BA17),BC17/BA17, " - ")</f>
        <v>9.5219737856592129E-2</v>
      </c>
      <c r="BG17" s="209">
        <f t="shared" si="11"/>
        <v>1.1688511950655358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360</v>
      </c>
      <c r="K18" s="196">
        <v>367</v>
      </c>
      <c r="L18" s="196">
        <v>24</v>
      </c>
      <c r="M18" s="196">
        <v>24</v>
      </c>
      <c r="N18" s="196">
        <v>309</v>
      </c>
      <c r="O18" s="196">
        <v>3</v>
      </c>
      <c r="P18" s="196">
        <v>3</v>
      </c>
      <c r="Q18" s="196">
        <v>3</v>
      </c>
      <c r="R18" s="196">
        <v>1</v>
      </c>
      <c r="S18" s="196">
        <v>25</v>
      </c>
      <c r="T18" s="196">
        <v>282</v>
      </c>
      <c r="U18" s="196">
        <v>276</v>
      </c>
      <c r="V18" s="196">
        <v>31</v>
      </c>
      <c r="W18" s="196">
        <v>36</v>
      </c>
      <c r="X18" s="202">
        <v>207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282</v>
      </c>
      <c r="BA18" s="139">
        <f t="shared" si="15"/>
        <v>276</v>
      </c>
      <c r="BB18" s="139">
        <f t="shared" si="15"/>
        <v>31</v>
      </c>
      <c r="BC18" s="135">
        <f>IF(ISNUMBER(W18),W18," - ")</f>
        <v>36</v>
      </c>
      <c r="BD18" s="136">
        <f>IF(ISNUMBER(BA18/AZ18),BA18/AZ18," - ")</f>
        <v>0.97872340425531912</v>
      </c>
      <c r="BE18" s="137">
        <f>IF(ISNUMBER(BB18/BA18),BB18/BA18, " - ")</f>
        <v>0.11231884057971014</v>
      </c>
      <c r="BF18" s="137">
        <f>IF(ISNUMBER(BC18/BA18),BC18/BA18, " - ")</f>
        <v>0.13043478260869565</v>
      </c>
      <c r="BG18" s="209">
        <f>IF(ISNUMBER((AY18+AZ18)/BA18),(AY18+AZ18)/BA18," - ")</f>
        <v>1.1123188405797102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464</v>
      </c>
      <c r="J23" s="197">
        <f t="shared" si="21"/>
        <v>2984</v>
      </c>
      <c r="K23" s="197">
        <f t="shared" si="21"/>
        <v>2957</v>
      </c>
      <c r="L23" s="197">
        <f t="shared" si="21"/>
        <v>484</v>
      </c>
      <c r="M23" s="197">
        <f t="shared" si="21"/>
        <v>295</v>
      </c>
      <c r="N23" s="197">
        <f t="shared" si="21"/>
        <v>2193</v>
      </c>
      <c r="O23" s="197">
        <f t="shared" si="21"/>
        <v>76</v>
      </c>
      <c r="P23" s="197">
        <f t="shared" si="21"/>
        <v>54</v>
      </c>
      <c r="Q23" s="197">
        <f t="shared" si="21"/>
        <v>76</v>
      </c>
      <c r="R23" s="197">
        <f t="shared" si="21"/>
        <v>42</v>
      </c>
      <c r="S23" s="197">
        <f t="shared" si="21"/>
        <v>446</v>
      </c>
      <c r="T23" s="197">
        <f t="shared" si="21"/>
        <v>2893</v>
      </c>
      <c r="U23" s="197">
        <f t="shared" si="21"/>
        <v>2870</v>
      </c>
      <c r="V23" s="197">
        <f t="shared" si="21"/>
        <v>464</v>
      </c>
      <c r="W23" s="197">
        <f t="shared" si="21"/>
        <v>283</v>
      </c>
      <c r="X23" s="197">
        <f t="shared" si="21"/>
        <v>2036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446</v>
      </c>
      <c r="AZ23" s="197">
        <f>SUBTOTAL(9,AZ15:AZ22)</f>
        <v>2893</v>
      </c>
      <c r="BA23" s="197">
        <f>SUBTOTAL(9,BA15:BA22)</f>
        <v>2870</v>
      </c>
      <c r="BB23" s="197">
        <f>SUBTOTAL(9,BB15:BB22)</f>
        <v>464</v>
      </c>
      <c r="BC23" s="197">
        <f>SUBTOTAL(9,BC15:BC22)</f>
        <v>283</v>
      </c>
      <c r="BD23" s="219">
        <f>IF(ISNUMBER(BA23/AZ23),BA23/AZ23," - ")</f>
        <v>0.99204977531973726</v>
      </c>
      <c r="BE23" s="220">
        <f>IF(ISNUMBER(BB23/BA23),BB23/BA23, " - ")</f>
        <v>0.16167247386759581</v>
      </c>
      <c r="BF23" s="220">
        <f>IF(ISNUMBER(BC23/BA23),BC23/BA23, " - ")</f>
        <v>9.8606271777003485E-2</v>
      </c>
      <c r="BG23" s="221">
        <f>IF(ISNUMBER((AY23+AZ23)/BA23),(AY23+AZ23)/BA23," - ")</f>
        <v>1.1634146341463414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1300</v>
      </c>
      <c r="J31" s="144">
        <f t="shared" si="36"/>
        <v>4260</v>
      </c>
      <c r="K31" s="144">
        <f t="shared" si="36"/>
        <v>3877</v>
      </c>
      <c r="L31" s="144">
        <f t="shared" si="36"/>
        <v>1661</v>
      </c>
      <c r="M31" s="144">
        <f t="shared" si="36"/>
        <v>533</v>
      </c>
      <c r="N31" s="144">
        <f t="shared" si="36"/>
        <v>2422</v>
      </c>
      <c r="O31" s="144">
        <f t="shared" si="36"/>
        <v>599</v>
      </c>
      <c r="P31" s="144">
        <f t="shared" si="36"/>
        <v>379</v>
      </c>
      <c r="Q31" s="144">
        <f t="shared" si="36"/>
        <v>199</v>
      </c>
      <c r="R31" s="144">
        <f t="shared" si="36"/>
        <v>1918</v>
      </c>
      <c r="S31" s="144">
        <f t="shared" si="36"/>
        <v>1265</v>
      </c>
      <c r="T31" s="144">
        <f t="shared" si="36"/>
        <v>3933</v>
      </c>
      <c r="U31" s="144">
        <f t="shared" si="36"/>
        <v>3885</v>
      </c>
      <c r="V31" s="144">
        <f t="shared" si="36"/>
        <v>1300</v>
      </c>
      <c r="W31" s="144">
        <f t="shared" si="36"/>
        <v>542</v>
      </c>
      <c r="X31" s="144">
        <f t="shared" si="36"/>
        <v>2247</v>
      </c>
      <c r="Y31" s="144">
        <f t="shared" si="36"/>
        <v>51</v>
      </c>
      <c r="Z31" s="144">
        <f t="shared" si="36"/>
        <v>109</v>
      </c>
      <c r="AA31" s="144">
        <f t="shared" si="36"/>
        <v>73</v>
      </c>
      <c r="AB31" s="144">
        <f t="shared" si="36"/>
        <v>106</v>
      </c>
      <c r="AC31" s="144">
        <f t="shared" si="36"/>
        <v>0</v>
      </c>
      <c r="AD31" s="144">
        <f t="shared" si="36"/>
        <v>0</v>
      </c>
      <c r="AE31" s="144">
        <f t="shared" si="36"/>
        <v>0</v>
      </c>
      <c r="AF31" s="144">
        <f t="shared" si="36"/>
        <v>0</v>
      </c>
      <c r="AG31" s="144">
        <f t="shared" si="36"/>
        <v>35</v>
      </c>
      <c r="AH31" s="144">
        <f t="shared" si="36"/>
        <v>70</v>
      </c>
      <c r="AI31" s="144">
        <f t="shared" si="36"/>
        <v>54</v>
      </c>
      <c r="AJ31" s="144">
        <f t="shared" si="36"/>
        <v>51</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1300</v>
      </c>
      <c r="AZ31" s="144">
        <f>SUBTOTAL(9,AZ9:AZ30)</f>
        <v>4003</v>
      </c>
      <c r="BA31" s="144">
        <f>SUBTOTAL(9,BA9:BA30)</f>
        <v>3939</v>
      </c>
      <c r="BB31" s="144">
        <f>SUBTOTAL(9,BB9:BB30)</f>
        <v>1351</v>
      </c>
      <c r="BC31" s="145">
        <f>SUBTOTAL(9,BC9:BC30)</f>
        <v>503</v>
      </c>
      <c r="BD31" s="227">
        <f>IF(ISNUMBER(BA31/AZ31),BA31/AZ31," - ")</f>
        <v>0.98401199100674497</v>
      </c>
      <c r="BE31" s="224">
        <f>IF(ISNUMBER(BB31/BA31),BB31/BA31, " - ")</f>
        <v>0.34298045189134296</v>
      </c>
      <c r="BF31" s="224">
        <f>IF(ISNUMBER(BC31/BA31),BC31/BA31, " - ")</f>
        <v>0.1276973851231277</v>
      </c>
      <c r="BG31" s="145">
        <f>IF(ISNUMBER((AY31+AZ31)/BA31),(AY31+AZ31)/BA31," - ")</f>
        <v>1.3462807819243463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abrx3s31FpaD4u4aCW4TWo4mXrsmwCRYkkSjcNZ8iffmbfHnIOEsUDw5yWxOPputKQ8GgXGvMM+2J7HKfy96Q==" saltValue="FvQ1MiOjb6xDAa5F6Ce7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r0slidCad9h+ZOLr09A2k+FjBq5GNFzI3Fhp1R4Z0Fm7gLLkgjyUjiWCG4VWvNAu/5a6WEOl0VhJR9M5JPccw==" saltValue="1Qq0xkSiBf7QP/phaF6J0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LOS LLANOS DE ARIDANE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1</v>
      </c>
      <c r="AD10" s="549"/>
      <c r="AE10" s="563"/>
      <c r="AF10" s="551">
        <f>IF(ISNUMBER(Datos!L10),Datos!L10,"-")</f>
        <v>3</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0.9</v>
      </c>
      <c r="BH10" s="764">
        <f>IF(ISNUMBER(((Datos!L10/Datos!K10)*11)/factor_trimestre),((Datos!L10/Datos!K10)*11)/factor_trimestre," - ")</f>
        <v>3.6666666666666665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109</v>
      </c>
      <c r="O12" s="549"/>
      <c r="P12" s="549"/>
      <c r="Q12" s="547">
        <f>IF(ISNUMBER(Datos!P12),Datos!P12,0)</f>
        <v>323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106</v>
      </c>
      <c r="AI12" s="549" t="str">
        <f>IF(ISNUMBER(Datos!CD12),Datos!CD12,"-")</f>
        <v>-</v>
      </c>
      <c r="AJ12" s="549" t="str">
        <f>IF(ISNUMBER(Datos!EN12),Datos!EN12," - ")</f>
        <v xml:space="preserve"> - </v>
      </c>
      <c r="AK12" s="549"/>
      <c r="AL12" s="550"/>
      <c r="AM12" s="766">
        <f>IF(ISNUMBER(Datos!R12),Datos!R12," - ")</f>
        <v>1872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230</v>
      </c>
      <c r="BD12" s="693">
        <f>IF(ISNUMBER(Datos!N12),Datos!N12," - ")</f>
        <v>229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0.71563636363636363</v>
      </c>
      <c r="BH12" s="764">
        <f>IF(ISNUMBER(((IF(J_V="SI",Datos!L12/Datos!K12,(Datos!L12+Datos!AB12)/(Datos!K12+Datos!AA12)))*11)/factor_trimestre),((IF(J_V="SI",Datos!L12/Datos!K12,(Datos!L12+Datos!AB12)/(Datos!K12+Datos!AA12)))*11)/factor_trimestre," - ")</f>
        <v>14.308943089430894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0.12028725314183124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109</v>
      </c>
      <c r="O14" s="1199">
        <f t="shared" si="1"/>
        <v>0</v>
      </c>
      <c r="P14" s="1199">
        <f t="shared" si="1"/>
        <v>0</v>
      </c>
      <c r="Q14" s="1198">
        <f t="shared" si="1"/>
        <v>325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123</v>
      </c>
      <c r="AD14" s="1198">
        <f t="shared" si="2"/>
        <v>0</v>
      </c>
      <c r="AE14" s="1198">
        <f t="shared" si="2"/>
        <v>0</v>
      </c>
      <c r="AF14" s="1198">
        <f t="shared" si="2"/>
        <v>3</v>
      </c>
      <c r="AG14" s="1198">
        <f t="shared" si="2"/>
        <v>0</v>
      </c>
      <c r="AH14" s="1198">
        <f t="shared" si="2"/>
        <v>106</v>
      </c>
      <c r="AI14" s="1198">
        <f t="shared" si="2"/>
        <v>0</v>
      </c>
      <c r="AJ14" s="1198">
        <f t="shared" si="2"/>
        <v>0</v>
      </c>
      <c r="AK14" s="1198">
        <f t="shared" si="2"/>
        <v>0</v>
      </c>
      <c r="AL14" s="1198">
        <f t="shared" si="2"/>
        <v>0</v>
      </c>
      <c r="AM14" s="1198">
        <f t="shared" si="2"/>
        <v>1876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238</v>
      </c>
      <c r="BD14" s="1198">
        <f t="shared" si="2"/>
        <v>229</v>
      </c>
      <c r="BE14" s="1198">
        <f t="shared" si="2"/>
        <v>0</v>
      </c>
      <c r="BF14" s="1198">
        <f t="shared" si="2"/>
        <v>0</v>
      </c>
      <c r="BG14" s="1198">
        <f>IF(ISNUMBER(Datos!K14/Datos!J14),Datos!K14/Datos!J14," - ")</f>
        <v>0.72100313479623823</v>
      </c>
      <c r="BH14" s="1202">
        <f>IF(ISNUMBER(((Datos!L14/Datos!K14)*11)/factor_trimestre),((Datos!L14/Datos!K14)*11)/factor_trimestre," - ")</f>
        <v>14.072826086956523</v>
      </c>
      <c r="BI14" s="1198">
        <f>IF(ISNUMBER('Resol  Asuntos'!D14/NºAsuntos!G14),'Resol  Asuntos'!D14/NºAsuntos!G14," - ")</f>
        <v>0.23967774420946628</v>
      </c>
      <c r="BJ14" s="1198" t="str">
        <f>IF(ISNUMBER(Datos!CI14/Datos!CJ14),Datos!CI14/Datos!CJ14," - ")</f>
        <v xml:space="preserve"> - </v>
      </c>
      <c r="BK14" s="1198">
        <f>SUBTOTAL(9,BK8:BK13)</f>
        <v>0</v>
      </c>
      <c r="BL14" s="1198">
        <f>IF(ISNUMBER((I14-AB14+L14)/(F14)),(I14-AB14+L14)/(F14)," - ")</f>
        <v>-4.5</v>
      </c>
      <c r="BM14" s="1203">
        <f>SUBTOTAL(9,BM9:BM13)</f>
        <v>0.45362058647516457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426</v>
      </c>
      <c r="G17" s="743">
        <f>IF(ISNUMBER(IF(D_I="SI",Datos!I17,Datos!I17+Datos!AC17)),IF(D_I="SI",Datos!I17,Datos!I17+Datos!AC17)," - ")</f>
        <v>433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2590</v>
      </c>
      <c r="AC17" s="240">
        <f>IF(ISNUMBER(Datos!Q17),Datos!Q17," - ")</f>
        <v>73</v>
      </c>
      <c r="AD17" s="374"/>
      <c r="AE17" s="562"/>
      <c r="AF17" s="741">
        <f>IF(ISNUMBER(IF(D_I="SI",Datos!L17,Datos!L17+Datos!AF17)),IF(D_I="SI",Datos!L17,Datos!L17+Datos!AF17)," - ")</f>
        <v>460</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271</v>
      </c>
      <c r="BD17" s="243">
        <f>IF(ISNUMBER(Datos!N17),Datos!N17," - ")</f>
        <v>1884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0.98704268292682928</v>
      </c>
      <c r="BH17" s="764">
        <f>IF(ISNUMBER(((IF(D_I="SI",Datos!L17/Datos!K17,(Datos!L17+Datos!AF17)/(Datos!K17+Datos!AE17)))*11)/factor_trimestre),((IF(D_I="SI",Datos!L17/Datos!K17,(Datos!L17+Datos!AF17)/(Datos!K17+Datos!AE17)))*11)/factor_trimestre," - ")</f>
        <v>1.9536679536679538</v>
      </c>
      <c r="BI17" s="266">
        <f>IF(ISNUMBER('Resol  Asuntos'!D17/NºAsuntos!G17),'Resol  Asuntos'!D17/NºAsuntos!G17," - ")</f>
        <v>0.10463320463320464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367</v>
      </c>
      <c r="AC18" s="547">
        <f>IF(ISNUMBER(Datos!Q18),Datos!Q18," - ")</f>
        <v>3</v>
      </c>
      <c r="AD18" s="549"/>
      <c r="AE18" s="562"/>
      <c r="AF18" s="551">
        <f>IF(ISNUMBER(Datos!L18),Datos!L18,"-")</f>
        <v>24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v>
      </c>
      <c r="BD18" s="693">
        <f>IF(ISNUMBER(Datos!N18),Datos!N18," - ")</f>
        <v>309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1.0194444444444444</v>
      </c>
      <c r="BH18" s="764">
        <f>IF(ISNUMBER(((IF(D_I="SI",Datos!L18/Datos!K18,(Datos!L18+Datos!AF18)/(Datos!K18+Datos!AE18)))*11)/factor_trimestre),((IF(D_I="SI",Datos!L18/Datos!K18,(Datos!L18+Datos!AF18)/(Datos!K18+Datos!AE18)))*11)/factor_trimestre," - ")</f>
        <v>0.71934604904632149</v>
      </c>
      <c r="BI18" s="763">
        <f>IF(ISNUMBER('Resol  Asuntos'!D18/NºAsuntos!G18),'Resol  Asuntos'!D18/NºAsuntos!G18," - ")</f>
        <v>6.5395095367847406E-2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426</v>
      </c>
      <c r="G23" s="1197">
        <f>SUBTOTAL(9,G16:G22)</f>
        <v>464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2957</v>
      </c>
      <c r="AC23" s="1198">
        <f t="shared" si="5"/>
        <v>76</v>
      </c>
      <c r="AD23" s="1198">
        <f t="shared" si="5"/>
        <v>0</v>
      </c>
      <c r="AE23" s="1198">
        <f t="shared" si="5"/>
        <v>0</v>
      </c>
      <c r="AF23" s="1198">
        <f t="shared" si="5"/>
        <v>484</v>
      </c>
      <c r="AG23" s="1198">
        <f t="shared" si="5"/>
        <v>0</v>
      </c>
      <c r="AH23" s="1198">
        <f t="shared" si="5"/>
        <v>0</v>
      </c>
      <c r="AI23" s="1198">
        <f t="shared" si="5"/>
        <v>0</v>
      </c>
      <c r="AJ23" s="1198">
        <f t="shared" si="5"/>
        <v>0</v>
      </c>
      <c r="AK23" s="1198">
        <f t="shared" si="5"/>
        <v>0</v>
      </c>
      <c r="AL23" s="1198">
        <f t="shared" si="5"/>
        <v>0</v>
      </c>
      <c r="AM23" s="1198">
        <f t="shared" si="5"/>
        <v>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295</v>
      </c>
      <c r="BD23" s="1198">
        <f t="shared" si="5"/>
        <v>2193</v>
      </c>
      <c r="BE23" s="1198">
        <f t="shared" si="5"/>
        <v>0</v>
      </c>
      <c r="BF23" s="1198">
        <f t="shared" si="5"/>
        <v>0</v>
      </c>
      <c r="BG23" s="1198">
        <f>IF(ISNUMBER(Datos!K23/Datos!J23),Datos!K23/Datos!J23," - ")</f>
        <v>0.99095174262734587</v>
      </c>
      <c r="BH23" s="1202">
        <f>IF(ISNUMBER(((Datos!L23/Datos!K23)*11)/factor_trimestre),((Datos!L23/Datos!K23)*11)/factor_trimestre," - ")</f>
        <v>1.800473452823808</v>
      </c>
      <c r="BI23" s="1198">
        <f>SUBTOTAL(9,BI16:BI22)</f>
        <v>0.17002830000105204</v>
      </c>
      <c r="BJ23" s="1198">
        <f>SUBTOTAL(9,BJ16:BJ22)</f>
        <v>0</v>
      </c>
      <c r="BK23" s="1198">
        <f>SUBTOTAL(9,BK16:BK22)</f>
        <v>0</v>
      </c>
      <c r="BL23" s="1198">
        <f>IF(ISNUMBER((I23-AB23+L23)/(F23)),(I23-AB23+L23)/(F23)," - ")</f>
        <v>-6.94131455399061</v>
      </c>
      <c r="BM23" s="1205">
        <f>IF(ISNUMBER((Datos!P23-Datos!Q23)/(Datos!R23-Datos!P23+Datos!Q23)),(Datos!P23-Datos!Q23)/(Datos!R23-Datos!P23+Datos!Q23)," - ")</f>
        <v>-0.34375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428</v>
      </c>
      <c r="G31" s="1117">
        <f t="shared" si="18"/>
        <v>466</v>
      </c>
      <c r="H31" s="1119">
        <f t="shared" si="18"/>
        <v>0</v>
      </c>
      <c r="I31" s="1117">
        <f t="shared" si="18"/>
        <v>0</v>
      </c>
      <c r="J31" s="1119">
        <f t="shared" si="18"/>
        <v>0</v>
      </c>
      <c r="K31" s="1119">
        <f t="shared" si="18"/>
        <v>0</v>
      </c>
      <c r="L31" s="1180">
        <f t="shared" si="18"/>
        <v>0</v>
      </c>
      <c r="M31" s="1180">
        <f t="shared" si="18"/>
        <v>0</v>
      </c>
      <c r="N31" s="1180">
        <f t="shared" si="18"/>
        <v>109</v>
      </c>
      <c r="O31" s="1180">
        <f t="shared" si="18"/>
        <v>0</v>
      </c>
      <c r="P31" s="1180">
        <f t="shared" si="18"/>
        <v>0</v>
      </c>
      <c r="Q31" s="1119">
        <f t="shared" si="18"/>
        <v>379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2966</v>
      </c>
      <c r="AC31" s="1118">
        <f t="shared" si="19"/>
        <v>199</v>
      </c>
      <c r="AD31" s="1118">
        <f t="shared" si="19"/>
        <v>0</v>
      </c>
      <c r="AE31" s="1118">
        <f t="shared" si="19"/>
        <v>0</v>
      </c>
      <c r="AF31" s="1125">
        <f t="shared" si="19"/>
        <v>487</v>
      </c>
      <c r="AG31" s="1125">
        <f t="shared" si="19"/>
        <v>0</v>
      </c>
      <c r="AH31" s="1125">
        <f t="shared" si="19"/>
        <v>106</v>
      </c>
      <c r="AI31" s="1125">
        <f t="shared" si="19"/>
        <v>0</v>
      </c>
      <c r="AJ31" s="1118">
        <f t="shared" si="19"/>
        <v>0</v>
      </c>
      <c r="AK31" s="1125">
        <f t="shared" si="19"/>
        <v>0</v>
      </c>
      <c r="AL31" s="1125">
        <f t="shared" si="19"/>
        <v>0</v>
      </c>
      <c r="AM31" s="1125">
        <f t="shared" si="19"/>
        <v>1918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533</v>
      </c>
      <c r="BD31" s="1117">
        <f t="shared" si="19"/>
        <v>2422</v>
      </c>
      <c r="BE31" s="1117">
        <f t="shared" si="19"/>
        <v>0</v>
      </c>
      <c r="BF31" s="1127">
        <f t="shared" si="19"/>
        <v>0</v>
      </c>
      <c r="BG31" s="1223">
        <f>IF(ISNUMBER(Datos!K31/Datos!J31),Datos!K31/Datos!J31," - ")</f>
        <v>0.91009389671361507</v>
      </c>
      <c r="BH31" s="1223">
        <f>IF(ISNUMBER(((Datos!L31/Datos!K31)*11)/factor_trimestre),((Datos!L31/Datos!K31)*11)/factor_trimestre," - ")</f>
        <v>4.7126644312612846</v>
      </c>
      <c r="BI31" s="1103">
        <f>IF(ISNUMBER(Datos!J31/Datos!I31),Datos!J31/Datos!I31," - ")</f>
        <v>3.2769230769230768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-6.9299065420560746</v>
      </c>
      <c r="BM31" s="1188">
        <f>IF(ISNUMBER((Datos!P31-Datos!Q31+R31)/(Datos!R31-Datos!P31+Datos!Q31-R31)),(Datos!P31-Datos!Q31+R31)/(Datos!R31-Datos!P31+Datos!Q31-R31)," - ")</f>
        <v>0.10356731875719218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133.14285714285714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219.4708788579174</v>
      </c>
      <c r="G33" s="674">
        <f>IF(ISNUMBER(STDEV(G8:G30)),STDEV(G8:G30),"-")</f>
        <v>215.89536707351903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1326.6407271931687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135.54414146584975</v>
      </c>
      <c r="BD33" s="673"/>
      <c r="BE33" s="673">
        <f>IF(ISNUMBER(STDEV(BE8:BE30)),STDEV(BE8:BE30),"-")</f>
        <v>0</v>
      </c>
      <c r="BF33" s="678">
        <f>IF(ISNUMBER(STDEV(BF8:BF30)),STDEV(BF8:BF30),"-")</f>
        <v>0</v>
      </c>
      <c r="BG33" s="1052">
        <f>IF(ISNUMBER(STDEV(BG8:BG30)),STDEV(BG8:BG30),"-")</f>
        <v>0.13814570184741495</v>
      </c>
      <c r="BH33" s="1058">
        <f>IF(ISNUMBER(STDEV(BH8:BH30)),STDEV(BH8:BH30),"-")</f>
        <v>6.3482632661616982</v>
      </c>
      <c r="BI33" s="273">
        <f>IF(ISNUMBER(STDEV(BI8:BI30)),STDEV(BI8:BI30),"-")</f>
        <v>7.6499874544483509E-2</v>
      </c>
      <c r="BJ33" s="244" t="str">
        <f>IF(ISNUMBER(BL33/BM33),BL33/BM33," - ")</f>
        <v xml:space="preserve"> - </v>
      </c>
      <c r="BK33" s="709"/>
      <c r="BL33" s="681">
        <f>IF(ISNUMBER(STDEV(BL8:BL30)),STDEV(BL8:BL30),"-")</f>
        <v>1.7262700761361738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9IBCHMdz3oyTo369A8TSu+nnzy4DlzYOJi7Eyg++/dxThCEcHhwargSBlezYs5HHDodmSaD0At/wrpM3bUqFtA==" saltValue="Vm0Pw3gz36KdQJTlPyl+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LOS LLANOS DE ARIDANE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1</v>
      </c>
      <c r="AA10" s="551">
        <f>IF(ISNUMBER(Datos!L10),Datos!L10,"-")</f>
        <v>3</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3.6666666666666665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122</v>
      </c>
      <c r="AA12" s="551" t="str">
        <f>IF(ISNUMBER(IF(J_V="SI",Datos!L12,Datos!L12+Datos!AB12)-IF(Monitorios="SI",Datos!CD12,0)),
                          IF(J_V="SI",Datos!L12,Datos!L12+Datos!AB12)-IF(Monitorios="SI",Datos!CD12,0),
                          " - ")</f>
        <v xml:space="preserve"> - </v>
      </c>
      <c r="AB12" s="549"/>
      <c r="AC12" s="549"/>
      <c r="AD12" s="563"/>
      <c r="AE12" s="563">
        <f>IF(ISNUMBER(Datos!R12),Datos!R12," - ")</f>
        <v>1872</v>
      </c>
      <c r="AF12" s="693" t="str">
        <f>IF(ISNUMBER(Datos!BV12),Datos!BV12," - ")</f>
        <v xml:space="preserve"> - </v>
      </c>
      <c r="AG12" s="552" t="str">
        <f>IF(ISNUMBER(Datos!DV12),Datos!DV12," - ")</f>
        <v xml:space="preserve"> - </v>
      </c>
      <c r="AH12" s="553"/>
      <c r="AI12" s="554"/>
      <c r="AJ12" s="552">
        <f>IF(ISNUMBER(Datos!M12),Datos!M12," - ")</f>
        <v>230</v>
      </c>
      <c r="AK12" s="693">
        <f>IF(ISNUMBER(Datos!N12),Datos!N12," - ")</f>
        <v>229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14.308943089430894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0.12028725314183124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123</v>
      </c>
      <c r="AA14" s="1199">
        <f t="shared" si="3"/>
        <v>3</v>
      </c>
      <c r="AB14" s="1199">
        <f t="shared" si="3"/>
        <v>0</v>
      </c>
      <c r="AC14" s="1199">
        <f t="shared" si="3"/>
        <v>0</v>
      </c>
      <c r="AD14" s="1199">
        <f t="shared" si="3"/>
        <v>0</v>
      </c>
      <c r="AE14" s="1199">
        <f t="shared" si="3"/>
        <v>1876</v>
      </c>
      <c r="AF14" s="1211">
        <f t="shared" si="3"/>
        <v>0</v>
      </c>
      <c r="AG14" s="1211">
        <f t="shared" si="3"/>
        <v>0</v>
      </c>
      <c r="AH14" s="1211">
        <f t="shared" si="3"/>
        <v>0</v>
      </c>
      <c r="AI14" s="1211">
        <f t="shared" si="3"/>
        <v>0</v>
      </c>
      <c r="AJ14" s="1211">
        <f t="shared" si="3"/>
        <v>238</v>
      </c>
      <c r="AK14" s="1211">
        <f t="shared" si="3"/>
        <v>229</v>
      </c>
      <c r="AL14" s="1211">
        <f t="shared" si="3"/>
        <v>0</v>
      </c>
      <c r="AM14" s="1211">
        <f t="shared" si="3"/>
        <v>0</v>
      </c>
      <c r="AN14" s="1211">
        <f t="shared" si="3"/>
        <v>0</v>
      </c>
      <c r="AO14" s="1203">
        <f>IF(ISNUMBER(((NºAsuntos!I14/NºAsuntos!G14)*11)/factor_trimestre),((NºAsuntos!I14/NºAsuntos!G14)*11)/factor_trimestre," - ")</f>
        <v>14.212487411883183</v>
      </c>
      <c r="AP14" s="1213" t="str">
        <f>IF(ISNUMBER(Datos!CI14/Datos!CJ14),Datos!CI14/Datos!CJ14," - ")</f>
        <v xml:space="preserve"> - </v>
      </c>
      <c r="AQ14" s="1236">
        <f t="shared" ref="AQ14:AV14" si="4">SUBTOTAL(9,AQ9:AQ13)</f>
        <v>0</v>
      </c>
      <c r="AR14" s="1236">
        <f t="shared" si="4"/>
        <v>0.45362058647516457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426</v>
      </c>
      <c r="G17" s="552">
        <f>IF(ISNUMBER(IF(D_I="SI",Datos!I17,Datos!I17+Datos!AC17)),IF(D_I="SI",Datos!I17,Datos!I17+Datos!AC17)," - ")</f>
        <v>433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2590</v>
      </c>
      <c r="Z17" s="805">
        <f>IF(ISNUMBER(Datos!Q17),Datos!Q17," - ")</f>
        <v>73</v>
      </c>
      <c r="AA17" s="551">
        <f>IF(ISNUMBER(IF(D_I="SI",Datos!L17,Datos!L17+Datos!AF17)),IF(D_I="SI",Datos!L17,Datos!L17+Datos!AF17)," - ")</f>
        <v>460</v>
      </c>
      <c r="AB17" s="549"/>
      <c r="AC17" s="549"/>
      <c r="AD17" s="563"/>
      <c r="AE17" s="563">
        <f>IF(ISNUMBER(Datos!R17),Datos!R17," - ")</f>
        <v>41</v>
      </c>
      <c r="AF17" s="693" t="str">
        <f>IF(ISNUMBER(Datos!BV17),Datos!BV17," - ")</f>
        <v xml:space="preserve"> - </v>
      </c>
      <c r="AG17" s="552"/>
      <c r="AH17" s="553"/>
      <c r="AI17" s="554"/>
      <c r="AJ17" s="552">
        <f>IF(ISNUMBER(Datos!M17),Datos!M17," - ")</f>
        <v>271</v>
      </c>
      <c r="AK17" s="693">
        <f>IF(ISNUMBER(Datos!N17),Datos!N17," - ")</f>
        <v>1884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1.9536679536679538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367</v>
      </c>
      <c r="Z18" s="805">
        <f>IF(ISNUMBER(Datos!Q18),Datos!Q18," - ")</f>
        <v>3</v>
      </c>
      <c r="AA18" s="551">
        <f>IF(ISNUMBER(Datos!L18),Datos!L18,"-")</f>
        <v>24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24</v>
      </c>
      <c r="AK18" s="693">
        <f>IF(ISNUMBER(Datos!N18),Datos!N18," - ")</f>
        <v>309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0.71934604904632149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426</v>
      </c>
      <c r="G23" s="1197">
        <f>SUBTOTAL(9,G16:G22)</f>
        <v>464</v>
      </c>
      <c r="H23" s="1240">
        <f>SUBTOTAL(9,H16:H22)</f>
        <v>0</v>
      </c>
      <c r="I23" s="1217">
        <f>SUBTOTAL(9,I16:I22)</f>
        <v>0</v>
      </c>
      <c r="J23" s="1164">
        <f>SUBTOTAL(9,J15:J22)</f>
        <v>0</v>
      </c>
      <c r="K23" s="1240">
        <f t="shared" ref="K23:S23" si="5">SUBTOTAL(9,K16:K22)</f>
        <v>0</v>
      </c>
      <c r="L23" s="1240">
        <f t="shared" si="5"/>
        <v>0</v>
      </c>
      <c r="M23" s="1240">
        <f t="shared" si="5"/>
        <v>0</v>
      </c>
      <c r="N23" s="1240">
        <f t="shared" si="5"/>
        <v>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2957</v>
      </c>
      <c r="Z23" s="1240">
        <f t="shared" si="6"/>
        <v>76</v>
      </c>
      <c r="AA23" s="1240">
        <f t="shared" si="6"/>
        <v>484</v>
      </c>
      <c r="AB23" s="1240">
        <f t="shared" si="6"/>
        <v>0</v>
      </c>
      <c r="AC23" s="1240">
        <f t="shared" si="6"/>
        <v>0</v>
      </c>
      <c r="AD23" s="1240">
        <f t="shared" si="6"/>
        <v>0</v>
      </c>
      <c r="AE23" s="1240">
        <f t="shared" si="6"/>
        <v>42</v>
      </c>
      <c r="AF23" s="1240">
        <f t="shared" si="6"/>
        <v>0</v>
      </c>
      <c r="AG23" s="1240">
        <f t="shared" si="6"/>
        <v>0</v>
      </c>
      <c r="AH23" s="1240">
        <f t="shared" si="6"/>
        <v>0</v>
      </c>
      <c r="AI23" s="1240">
        <f t="shared" si="6"/>
        <v>0</v>
      </c>
      <c r="AJ23" s="1240">
        <f t="shared" si="6"/>
        <v>295</v>
      </c>
      <c r="AK23" s="1240">
        <f t="shared" si="6"/>
        <v>2193</v>
      </c>
      <c r="AL23" s="1240">
        <f t="shared" si="6"/>
        <v>0</v>
      </c>
      <c r="AM23" s="1240">
        <f t="shared" si="6"/>
        <v>0</v>
      </c>
      <c r="AN23" s="1240">
        <f t="shared" si="6"/>
        <v>0</v>
      </c>
      <c r="AO23" s="1242">
        <f>IF(ISNUMBER(((NºAsuntos!I23/NºAsuntos!G23)*11)/factor_trimestre),((NºAsuntos!I23/NºAsuntos!G23)*11)/factor_trimestre," - ")</f>
        <v>1.800473452823808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428</v>
      </c>
      <c r="G31" s="1117">
        <f t="shared" si="12"/>
        <v>466</v>
      </c>
      <c r="H31" s="1118">
        <f t="shared" si="12"/>
        <v>0</v>
      </c>
      <c r="I31" s="1117">
        <f t="shared" si="12"/>
        <v>0</v>
      </c>
      <c r="J31" s="1119">
        <f t="shared" si="12"/>
        <v>0</v>
      </c>
      <c r="K31" s="1117">
        <f t="shared" si="12"/>
        <v>0</v>
      </c>
      <c r="L31" s="1120">
        <f t="shared" si="12"/>
        <v>0</v>
      </c>
      <c r="M31" s="1117">
        <f t="shared" si="12"/>
        <v>0</v>
      </c>
      <c r="N31" s="1118">
        <f t="shared" si="12"/>
        <v>379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2966</v>
      </c>
      <c r="Z31" s="1124">
        <f t="shared" si="13"/>
        <v>199</v>
      </c>
      <c r="AA31" s="1125">
        <f t="shared" si="13"/>
        <v>487</v>
      </c>
      <c r="AB31" s="1125">
        <f t="shared" si="13"/>
        <v>0</v>
      </c>
      <c r="AC31" s="1125">
        <f t="shared" si="13"/>
        <v>0</v>
      </c>
      <c r="AD31" s="1126">
        <f t="shared" si="13"/>
        <v>0</v>
      </c>
      <c r="AE31" s="1126">
        <f t="shared" si="13"/>
        <v>1918</v>
      </c>
      <c r="AF31" s="1127">
        <f t="shared" si="13"/>
        <v>0</v>
      </c>
      <c r="AG31" s="1128">
        <f t="shared" si="13"/>
        <v>0</v>
      </c>
      <c r="AH31" s="1129">
        <f t="shared" si="13"/>
        <v>0</v>
      </c>
      <c r="AI31" s="1127">
        <f t="shared" si="13"/>
        <v>0</v>
      </c>
      <c r="AJ31" s="1117">
        <f t="shared" si="13"/>
        <v>533</v>
      </c>
      <c r="AK31" s="1117">
        <f t="shared" si="13"/>
        <v>2422</v>
      </c>
      <c r="AL31" s="1117">
        <f t="shared" si="13"/>
        <v>0</v>
      </c>
      <c r="AM31" s="1130">
        <f t="shared" si="13"/>
        <v>0</v>
      </c>
      <c r="AN31" s="1120">
        <f>IF(ISNUMBER(Datos!K31/Datos!J31),Datos!K31/Datos!J31," - ")</f>
        <v>0.91009389671361507</v>
      </c>
      <c r="AO31" s="1120">
        <f>IF(ISNUMBER(FIND("06",Criterios!A8,1)),(IF(ISNUMBER(((Datos!R31/Datos!Q31)*11)/factor_trimestre),((Datos!R31/Datos!Q31)*11)/factor_trimestre," - ")),(IF(ISNUMBER(((Datos!L31/Datos!K31)*11)/factor_trimestre),((Datos!L31/Datos!K31)*11)/factor_trimestre," - ")))</f>
        <v>4.7126644312612846</v>
      </c>
      <c r="AP31" s="1131" t="str">
        <f>IF(ISNUMBER(Datos!CI31/Datos!CJ31),Datos!CI31/Datos!CJ31," - ")</f>
        <v xml:space="preserve"> - </v>
      </c>
      <c r="AQ31" s="1131">
        <f>IF(OR(ISNUMBER(FIND("01",Criterios!A8,1)),ISNUMBER(FIND("02",Criterios!A8,1)),ISNUMBER(FIND("03",Criterios!A8,1)),ISNUMBER(FIND("04",Criterios!A8,1))),(J31-Y31+K31)/(F31-K31),(I31-Y31+K31)/(F31-K31))</f>
        <v>-6.9299065420560746</v>
      </c>
      <c r="AR31" s="1131">
        <f>IF(ISNUMBER((Datos!P31-Datos!Q31+O31)/(Datos!R31-Datos!P31+Datos!Q31-O31)),(Datos!P31-Datos!Q31+O31)/(Datos!R31-Datos!P31+Datos!Q31-O31)," - ")</f>
        <v>0.10356731875719218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133.14285714285714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219.4708788579174</v>
      </c>
      <c r="G33" s="674">
        <f>IF(ISNUMBER(STDEV(G8:G30)),STDEV(G8:G30),"-")</f>
        <v>215.89536707351903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135.54414146584975</v>
      </c>
      <c r="AK33" s="276"/>
      <c r="AL33" s="276">
        <f>IF(ISNUMBER(STDEV(AL8:AL30)),STDEV(AL8:AL30),"-")</f>
        <v>0</v>
      </c>
      <c r="AM33" s="278">
        <f>IF(ISNUMBER(STDEV(AM8:AM30)),STDEV(AM8:AM30),"-")</f>
        <v>0</v>
      </c>
      <c r="AN33" s="660">
        <f>IF(ISNUMBER(STDEV(AN8:AN30)),STDEV(AN8:AN30),"-")</f>
        <v>0</v>
      </c>
      <c r="AO33" s="661">
        <f>IF(ISNUMBER(STDEV(AO8:AO30)),STDEV(AO8:AO30),"-")</f>
        <v>6.3835587654824648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xjA8XjI5SBw7UldTrD4znyBJxa6HxD36JSZuqRNxoNPTlD6Kvuor1axQEuhFL1/heK6IlTTaUZ1VQ/hV/8WZNQ==" saltValue="f/jAYEHsceMMxS6eRsPF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SLBN+phHYTLgfes/BqlRuX4HBFnStuFJL9etMFogpD/M6ZMbYC9b2nBJRe2Lw+xifv6SJJMCoRxWsvvxibNpA==" saltValue="5CGXPZiD+cNxFujFXKfF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vIYkxp2JF93eX5kJNLWb57YSfAjuRNSsZ+idlSOq3R1C279lZKYmMfROMOHimcCAVuXg/OpNUaLC92OYvyh/w==" saltValue="Q7IzxfUCPSTB1ZydQIpgo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LOS LLANOS DE ARIDANE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0.23967774420946628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0.16947775823000838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2DWnLmK1wtX0qEVwyLG3VHXCgWj3FAYwLiCZz0L33/FYN8jkup33pc4X1yw3NIqdRZ3rZXcX4FwY3VyGLo1udA==" saltValue="7k1ImNpHT2Fct/Ww9ota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AlHI+LNTmQ9MNmGI4aqNKa4Dxx03syQy0evbzm10yttxlMR5ovYvaxBnIs9akHO3orc4y4Sj7c4NcDmgqupulw==" saltValue="SPxLA7q04YNqVh1tzkpC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LOS LLANOS DE ARIDANE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10</v>
      </c>
      <c r="F10" s="452">
        <f>IF(ISNUMBER(E10/B10),E10/B10," - ")</f>
        <v>10</v>
      </c>
      <c r="G10" s="451">
        <f>IF(ISNUMBER(Datos!K10),Datos!K10," - ")</f>
        <v>9</v>
      </c>
      <c r="H10" s="452">
        <f>IF(ISNUMBER(G10/B10),G10/B10," - ")</f>
        <v>9</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885</v>
      </c>
      <c r="D12" s="452">
        <f>IF(ISNUMBER(C12/Datos!BH12),C12/Datos!BH12," - ")</f>
        <v>442.5</v>
      </c>
      <c r="E12" s="451">
        <f>IF(ISNUMBER(IF(J_V="SI",Datos!J12,Datos!J12+Datos!Z12)),IF(J_V="SI",Datos!J12,Datos!J12+Datos!Z12)," - ")</f>
        <v>1375</v>
      </c>
      <c r="F12" s="452">
        <f>IF(ISNUMBER(E12/B12),E12/B12," - ")</f>
        <v>687.5</v>
      </c>
      <c r="G12" s="451">
        <f>IF(ISNUMBER(IF(J_V="SI",Datos!K12,Datos!K12+Datos!AA12)),IF(J_V="SI",Datos!K12,Datos!K12+Datos!AA12)," - ")</f>
        <v>984</v>
      </c>
      <c r="H12" s="452">
        <f>IF(ISNUMBER(G12/B12),G12/B12," - ")</f>
        <v>492</v>
      </c>
      <c r="I12" s="451">
        <f>IF(ISNUMBER(IF(J_V="SI",Datos!L12,Datos!L12+Datos!AB12)),IF(J_V="SI",Datos!L12,Datos!L12+Datos!AB12)," - ")</f>
        <v>1280</v>
      </c>
      <c r="J12" s="452">
        <f>IF(ISNUMBER(I12/B12),I12/B12," - ")</f>
        <v>640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887</v>
      </c>
      <c r="D14" s="1147" t="str">
        <f>IF(ISNUMBER(C14/Datos!BI14),C14/Datos!BI14," - ")</f>
        <v xml:space="preserve"> - </v>
      </c>
      <c r="E14" s="1146">
        <f>SUBTOTAL(9,E8:E13)</f>
        <v>1385</v>
      </c>
      <c r="F14" s="1147">
        <f>IF(ISNUMBER(E14/B14),E14/B14," - ")</f>
        <v>692.5</v>
      </c>
      <c r="G14" s="1146">
        <f>SUBTOTAL(9,G8:G13)</f>
        <v>993</v>
      </c>
      <c r="H14" s="1147">
        <f>IF(ISNUMBER(G14/B14),G14/B14," - ")</f>
        <v>496.5</v>
      </c>
      <c r="I14" s="1146">
        <f>SUBTOTAL(9,I8:I13)</f>
        <v>1283</v>
      </c>
      <c r="J14" s="1147">
        <f>IF(ISNUMBER(I14/B14),I14/B14," - ")</f>
        <v>641.5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433</v>
      </c>
      <c r="D17" s="452">
        <f>IF(ISNUMBER(C17/Datos!BH17),C17/Datos!BH17," - ")</f>
        <v>216.5</v>
      </c>
      <c r="E17" s="451">
        <f>IF(ISNUMBER(IF(D_I="SI",Datos!J17,Datos!J17+Datos!AD17)),IF(D_I="SI",Datos!J17,Datos!J17+Datos!AD17)," - ")</f>
        <v>2624</v>
      </c>
      <c r="F17" s="452">
        <f>IF(ISNUMBER(E17/B17),E17/B17," - ")</f>
        <v>1312</v>
      </c>
      <c r="G17" s="451">
        <f>IF(ISNUMBER(IF(D_I="SI",Datos!K17,Datos!K17+Datos!AE17)),IF(D_I="SI",Datos!K17,Datos!K17+Datos!AE17)," - ")</f>
        <v>2590</v>
      </c>
      <c r="H17" s="452">
        <f>IF(ISNUMBER(G17/B17),G17/B17," - ")</f>
        <v>1295</v>
      </c>
      <c r="I17" s="451">
        <f>IF(ISNUMBER(IF(D_I="SI",Datos!L17,Datos!L17+Datos!AF17)),IF(D_I="SI",Datos!L17,Datos!L17+Datos!AF17)," - ")</f>
        <v>460</v>
      </c>
      <c r="J17" s="452">
        <f>IF(ISNUMBER(I17/B17),I17/B17," - ")</f>
        <v>230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360</v>
      </c>
      <c r="F18" s="452">
        <f>IF(ISNUMBER(E18/B18),E18/B18," - ")</f>
        <v>360</v>
      </c>
      <c r="G18" s="451">
        <f>IF(ISNUMBER(IF(D_I="SI",Datos!K18,Datos!K18+Datos!AE18)),IF(D_I="SI",Datos!K18,Datos!K18+Datos!AE18)," - ")</f>
        <v>367</v>
      </c>
      <c r="H18" s="452">
        <f>IF(ISNUMBER(G18/B18),G18/B18," - ")</f>
        <v>367</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464</v>
      </c>
      <c r="D23" s="1147" t="str">
        <f>IF(ISNUMBER(C23/Datos!BI23),C23/Datos!BI23," - ")</f>
        <v xml:space="preserve"> - </v>
      </c>
      <c r="E23" s="1146">
        <f>SUBTOTAL(9,E15:E22)</f>
        <v>2984</v>
      </c>
      <c r="F23" s="1147">
        <f>IF(ISNUMBER(E23/B23),E23/B23," - ")</f>
        <v>1492</v>
      </c>
      <c r="G23" s="1146">
        <f>SUBTOTAL(9,G15:G22)</f>
        <v>2957</v>
      </c>
      <c r="H23" s="1147">
        <f>IF(ISNUMBER(G23/B23),G23/B23," - ")</f>
        <v>1478.5</v>
      </c>
      <c r="I23" s="1146">
        <f>SUBTOTAL(9,I15:I22)</f>
        <v>484</v>
      </c>
      <c r="J23" s="1147">
        <f>IF(ISNUMBER(I23/B23),I23/B23," - ")</f>
        <v>242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1351</v>
      </c>
      <c r="D31" s="1085" t="str">
        <f>IF(ISNUMBER(C31/Datos!BI31),C31/Datos!BI31," - ")</f>
        <v xml:space="preserve"> - </v>
      </c>
      <c r="E31" s="1084">
        <f>SUBTOTAL(9,E9:E30)</f>
        <v>4369</v>
      </c>
      <c r="F31" s="1085">
        <f>IF(ISNUMBER(E31/B31),E31/B31," - ")</f>
        <v>2184.5</v>
      </c>
      <c r="G31" s="1084">
        <f>SUBTOTAL(9,G9:G30)</f>
        <v>3950</v>
      </c>
      <c r="H31" s="1085">
        <f>IF(ISNUMBER(G31/B31),G31/B31," - ")</f>
        <v>1975</v>
      </c>
      <c r="I31" s="1084">
        <f>SUBTOTAL(9,I9:I30)</f>
        <v>1767</v>
      </c>
      <c r="J31" s="1085">
        <f>IF(ISNUMBER(I31/B31),I31/B31," - ")</f>
        <v>883.5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JPOviOBYYJjyfqjATleiKv2tueF/LNjCz1MOiriwyePpS9yp5aIEqoPr+TQPVtUGZFLexcgE/WsCHz61mSSCPA==" saltValue="wgkuFD06Z2OP/npIdg6H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LOS LLANOS DE ARIDANE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3.6666666666666665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230</v>
      </c>
      <c r="AM12" s="914">
        <f>IF(ISNUMBER(Datos!N12+DatosP!N17),Datos!N12+DatosP!N17," - ")</f>
        <v>229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14.308943089430894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0.12028725314183124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122</v>
      </c>
      <c r="AE14" s="1257">
        <f t="shared" si="1"/>
        <v>0</v>
      </c>
      <c r="AF14" s="1257">
        <f t="shared" si="1"/>
        <v>3</v>
      </c>
      <c r="AG14" s="1257">
        <f t="shared" si="1"/>
        <v>0</v>
      </c>
      <c r="AH14" s="1257">
        <f t="shared" si="1"/>
        <v>1872</v>
      </c>
      <c r="AI14" s="1257">
        <f t="shared" si="1"/>
        <v>0</v>
      </c>
      <c r="AJ14" s="1257">
        <f t="shared" si="1"/>
        <v>0</v>
      </c>
      <c r="AK14" s="1257">
        <f t="shared" si="1"/>
        <v>0</v>
      </c>
      <c r="AL14" s="1257">
        <f t="shared" si="1"/>
        <v>238</v>
      </c>
      <c r="AM14" s="1257">
        <f t="shared" si="1"/>
        <v>229</v>
      </c>
      <c r="AN14" s="1257">
        <f t="shared" si="1"/>
        <v>0</v>
      </c>
      <c r="AO14" s="1257">
        <f t="shared" si="1"/>
        <v>0</v>
      </c>
      <c r="AP14" s="1262">
        <f>IF(ISNUMBER(((Datos!L14/Datos!K14)*11)/factor_trimestre),((Datos!L14/Datos!K14)*11)/factor_trimestre," - ")</f>
        <v>14.072826086956523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-4.5</v>
      </c>
      <c r="AU14" s="1257" t="str">
        <f>IF(ISNUMBER((DatosP!#REF!-DatosP!#REF!+DatosP!#REF!)/(DatosP!#REF!+DatosP!#REF!-DatosP!#REF!-DatosP!#REF!)),(DatosP!#REF!-DatosP!#REF!+DatosP!#REF!)/(DatosP!#REF!+DatosP!#REF!-DatosP!#REF!-DatosP!#REF!)," - ")</f>
        <v xml:space="preserve"> - </v>
      </c>
      <c r="AV14" s="1263">
        <f>SUBTOTAL(9,AV9:AV13)</f>
        <v>0.12028725314183124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1.800473452823808</v>
      </c>
      <c r="AQ23" s="1262">
        <f>IF(ISNUMBER(((Datos!M23/Datos!L23)*11)/factor_trimestre),((Datos!M23/Datos!L23)*11)/factor_trimestre," - ")</f>
        <v>6.704545454545455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-0.34375</v>
      </c>
      <c r="AW23" s="1265">
        <f>IF(ISNUMBER((Datos!Q23-Datos!R23)/(Datos!S23-Datos!Q23+Datos!R23)),(Datos!Q23-Datos!R23)/(Datos!S23-Datos!Q23+Datos!R23)," - ")</f>
        <v>8.2524271844660199E-2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122</v>
      </c>
      <c r="AE31" s="1284">
        <f t="shared" si="9"/>
        <v>0</v>
      </c>
      <c r="AF31" s="1285">
        <f t="shared" si="9"/>
        <v>3</v>
      </c>
      <c r="AG31" s="1285">
        <f t="shared" si="9"/>
        <v>0</v>
      </c>
      <c r="AH31" s="1285">
        <f t="shared" si="9"/>
        <v>1872</v>
      </c>
      <c r="AI31" s="1285">
        <f t="shared" si="9"/>
        <v>0</v>
      </c>
      <c r="AJ31" s="1286">
        <f t="shared" si="9"/>
        <v>0</v>
      </c>
      <c r="AK31" s="1286">
        <f t="shared" si="9"/>
        <v>0</v>
      </c>
      <c r="AL31" s="1278">
        <f t="shared" si="9"/>
        <v>238</v>
      </c>
      <c r="AM31" s="1278">
        <f t="shared" si="9"/>
        <v>229</v>
      </c>
      <c r="AN31" s="1278">
        <f t="shared" si="9"/>
        <v>0</v>
      </c>
      <c r="AO31" s="1278">
        <f t="shared" si="9"/>
        <v>0</v>
      </c>
      <c r="AP31" s="1278">
        <f>IF(ISNUMBER(((Datos!L31/Datos!K31)*11)/factor_trimestre),((Datos!L31/Datos!K31)*11)/factor_trimestre," - ")</f>
        <v>4.7126644312612846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0.10356731875719218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119.87104181855878</v>
      </c>
      <c r="AM33" s="1006"/>
      <c r="AN33" s="1006">
        <f>IF(ISNUMBER(STDEV(AN8:AN30)),STDEV(AN8:AN30),"-")</f>
        <v>0</v>
      </c>
      <c r="AO33" s="1012">
        <f>IF(ISNUMBER(STDEV(AO8:AO30)),STDEV(AO8:AO30),"-")</f>
        <v>0</v>
      </c>
      <c r="AP33" s="1065">
        <f>IF(ISNUMBER(STDEV(AP8:AP30)),STDEV(AP8:AP30),"-")</f>
        <v>6.6593110349074802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rZuJl8INnBDYkOK68pBZU3P9XTzrQcRDXhJodQvaDb+MJ/kNo2RRUPko/yKPqh8EJ8mYNYSpP/+hq4crr3A7nA==" saltValue="salhVc7Ppr/2Mgxxf+dZ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LOS LLANOS DE ARIDANE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P11TZ8zONAUKbrTz0ZhruJj4EkmiXlqCB7QX+dNU1enf4XTCKugQKuljlNHNDZO/gNBU/J1L3r/xaRRnJ5jWww==" saltValue="Zei4LawxWoxAqpNPIgbL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LOS LLANOS DE ARIDANE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230</v>
      </c>
      <c r="E12" s="452">
        <f t="shared" si="0"/>
        <v>115</v>
      </c>
      <c r="F12" s="451">
        <f>IF(ISNUMBER(Datos!N12),Datos!N12," - ")</f>
        <v>229</v>
      </c>
      <c r="G12" s="452">
        <f t="shared" si="1"/>
        <v>114.5</v>
      </c>
      <c r="H12" s="451">
        <f>IF(ISNUMBER(Datos!O12),Datos!O12," - ")</f>
        <v>522</v>
      </c>
      <c r="I12" s="452">
        <f t="shared" si="2"/>
        <v>261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238</v>
      </c>
      <c r="E14" s="1147">
        <f t="shared" si="0"/>
        <v>79.333333333333329</v>
      </c>
      <c r="F14" s="1146">
        <f>SUBTOTAL(9,F9:F13)</f>
        <v>229</v>
      </c>
      <c r="G14" s="1147">
        <f t="shared" si="1"/>
        <v>76.333333333333329</v>
      </c>
      <c r="H14" s="1146">
        <f>SUBTOTAL(9,H9:H13)</f>
        <v>523</v>
      </c>
      <c r="I14" s="1147">
        <f>IF(ISNUMBER(H14/B14),H14/B14," - ")</f>
        <v>174.33333333333334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271</v>
      </c>
      <c r="E17" s="452">
        <f t="shared" si="3"/>
        <v>135.5</v>
      </c>
      <c r="F17" s="451">
        <f>IF(ISNUMBER(Datos!N17),Datos!N17," - ")</f>
        <v>1884</v>
      </c>
      <c r="G17" s="452">
        <f t="shared" si="4"/>
        <v>942</v>
      </c>
      <c r="H17" s="451">
        <f>IF(ISNUMBER(Datos!O17),Datos!O17," - ")</f>
        <v>73</v>
      </c>
      <c r="I17" s="452">
        <f t="shared" si="5"/>
        <v>36.5</v>
      </c>
    </row>
    <row r="18" spans="1:9">
      <c r="A18" s="450" t="str">
        <f>Datos!A18</f>
        <v>Jdos. Violencia contra la mujer</v>
      </c>
      <c r="B18" s="480">
        <f>Datos!AO18</f>
        <v>1</v>
      </c>
      <c r="C18" s="481">
        <f>Datos!AQ18</f>
        <v>0</v>
      </c>
      <c r="D18" s="451">
        <f>IF(ISNUMBER(Datos!M18),Datos!M18," - ")</f>
        <v>24</v>
      </c>
      <c r="E18" s="452">
        <f>IF(ISNUMBER(D18/B18),D18/B18," - ")</f>
        <v>24</v>
      </c>
      <c r="F18" s="451">
        <f>IF(ISNUMBER(Datos!N18),Datos!N18," - ")</f>
        <v>309</v>
      </c>
      <c r="G18" s="452">
        <f>IF(ISNUMBER(F18/B18),F18/B18," - ")</f>
        <v>309</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295</v>
      </c>
      <c r="E23" s="1147">
        <f t="shared" si="3"/>
        <v>98.333333333333329</v>
      </c>
      <c r="F23" s="1146">
        <f>SUBTOTAL(9,F16:F22)</f>
        <v>2193</v>
      </c>
      <c r="G23" s="1147">
        <f t="shared" si="4"/>
        <v>731</v>
      </c>
      <c r="H23" s="1146">
        <f>SUBTOTAL(9,H16:H22)</f>
        <v>76</v>
      </c>
      <c r="I23" s="1147">
        <f>IF(ISNUMBER(H23/B23),H23/B23," - ")</f>
        <v>25.333333333333332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533</v>
      </c>
      <c r="E31" s="1085">
        <f>IF(ISNUMBER(D31/B31),D31/B31," - ")</f>
        <v>266.5</v>
      </c>
      <c r="F31" s="1084">
        <f>SUBTOTAL(9,F8:F30)</f>
        <v>2422</v>
      </c>
      <c r="G31" s="1085">
        <f>IF(ISNUMBER(F31/B31),F31/B31," - ")</f>
        <v>1211</v>
      </c>
      <c r="H31" s="1084">
        <f>SUBTOTAL(9,H8:H30)</f>
        <v>599</v>
      </c>
      <c r="I31" s="1085">
        <f>IF(ISNUMBER(H31/B31),H31/B31," - ")</f>
        <v>299.5</v>
      </c>
    </row>
    <row r="34" spans="1:1">
      <c r="A34" s="439" t="str">
        <f>Criterios!A4</f>
        <v>Fecha Informe: 14 abr. 2023</v>
      </c>
    </row>
    <row r="39" spans="1:1">
      <c r="A39" s="462"/>
    </row>
  </sheetData>
  <sheetProtection algorithmName="SHA-512" hashValue="VKk0qXLcZT8lkaNtkUIox+BvzKYMvINhWposnoj0KvgvhYN584pp7HuFx5Bg9ujabUICbgBKTCTvrwDv1ZKROA==" saltValue="yPsUItBKQOFm/R/9BzMa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LOS LLANOS DE ARIDANE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323</v>
      </c>
      <c r="C12" s="489">
        <f>IF(ISNUMBER(Datos!Q12),Datos!Q12," - ")</f>
        <v>122</v>
      </c>
      <c r="D12" s="456">
        <f>IF(ISNUMBER(Datos!R12),Datos!R12," - ")</f>
        <v>1872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325</v>
      </c>
      <c r="C14" s="1150">
        <f>SUBTOTAL(9,C9:C13)</f>
        <v>123</v>
      </c>
      <c r="D14" s="1148">
        <f>SUBTOTAL(9,D9:D13)</f>
        <v>1876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73</v>
      </c>
      <c r="D17" s="456">
        <f>IF(ISNUMBER(Datos!R17),Datos!R17," - ")</f>
        <v>41</v>
      </c>
    </row>
    <row r="18" spans="1:4">
      <c r="A18" s="450" t="str">
        <f>Datos!A18</f>
        <v>Jdos. Violencia contra la mujer</v>
      </c>
      <c r="B18" s="488">
        <f>IF(ISNUMBER(Datos!P18),Datos!P18," - ")</f>
        <v>3</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v>
      </c>
      <c r="C23" s="1150">
        <f>SUBTOTAL(9,C16:C22)</f>
        <v>76</v>
      </c>
      <c r="D23" s="1148">
        <f>SUBTOTAL(9,D16:D22)</f>
        <v>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379</v>
      </c>
      <c r="C31" s="1089">
        <f>SUBTOTAL(9,C8:C30)</f>
        <v>199</v>
      </c>
      <c r="D31" s="1090">
        <f>SUBTOTAL(9,D8:D30)</f>
        <v>1918</v>
      </c>
    </row>
    <row r="32" spans="1:4" ht="7.5" customHeight="1"/>
    <row r="33" spans="1:1" ht="6" customHeight="1"/>
    <row r="34" spans="1:1">
      <c r="A34" s="439" t="str">
        <f>Criterios!A4</f>
        <v>Fecha Informe: 14 abr. 2023</v>
      </c>
    </row>
    <row r="39" spans="1:1">
      <c r="A39" s="462"/>
    </row>
  </sheetData>
  <sheetProtection algorithmName="SHA-512" hashValue="CQt08P0gJSyq4jxJWOb/zWEJiPx88OX1BXroqtIDJtbUn2nbi1VIILsxN8A4fFBdiUjAJUgbLmy6b5t0v1vPfA==" saltValue="NqOOJHuyZJRiYV7412Yv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LOS LLANOS DE ARIDANE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-0.7142857142857143</v>
      </c>
      <c r="C10" s="515">
        <f>IF(ISNUMBER((Datos!J10-Datos!T10)/Datos!T10),(Datos!J10-Datos!T10)/Datos!T10," - ")</f>
        <v>0.1111111111111111</v>
      </c>
      <c r="D10" s="515">
        <f>IF(ISNUMBER((Datos!K10-Datos!U10)/Datos!U10),(Datos!K10-Datos!U10)/Datos!U10," - ")</f>
        <v>-0.35714285714285715</v>
      </c>
      <c r="E10" s="515">
        <f>IF(ISNUMBER((Datos!L10-Datos!V10)/Datos!V10),(Datos!L10-Datos!V10)/Datos!V10," - ")</f>
        <v>0.5</v>
      </c>
      <c r="F10" s="515">
        <f>IF(ISNUMBER((Datos!M10-Datos!W10)/Datos!W10),(Datos!M10-Datos!W10)/Datos!W10," - ")</f>
        <v>-0.2</v>
      </c>
      <c r="G10" s="516">
        <f>IF(ISNUMBER((Datos!N10-Datos!X10)/Datos!X10),(Datos!N10-Datos!X10)/Datos!X10," - ")</f>
        <v>-1</v>
      </c>
      <c r="H10" s="514">
        <f>IF(ISNUMBER(((NºAsuntos!G10/NºAsuntos!E10)-Datos!BD10)/Datos!BD10),((NºAsuntos!G10/NºAsuntos!E10)-Datos!BD10)/Datos!BD10," - ")</f>
        <v>-0.42142857142857143</v>
      </c>
      <c r="I10" s="515">
        <f>IF(ISNUMBER(((NºAsuntos!I10/NºAsuntos!G10)-Datos!BE10)/Datos!BE10),((NºAsuntos!I10/NºAsuntos!G10)-Datos!BE10)/Datos!BE10," - ")</f>
        <v>1.3333333333333333</v>
      </c>
      <c r="J10" s="521">
        <f>IF(ISNUMBER((('Resol  Asuntos'!D10/NºAsuntos!G10)-Datos!BF10)/Datos!BF10),(('Resol  Asuntos'!D10/NºAsuntos!G10)-Datos!BF10)/Datos!BF10," - ")</f>
        <v>0.24444444444444435</v>
      </c>
      <c r="K10" s="522">
        <f>IF(ISNUMBER((((NºAsuntos!C10+NºAsuntos!E10)/NºAsuntos!G10)-Datos!BG10)/Datos!BG10),(((NºAsuntos!C10+NºAsuntos!E10)/NºAsuntos!G10)-Datos!BG10)/Datos!BG10," - ")</f>
        <v>0.16666666666666666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4.4864226682408498E-2</v>
      </c>
      <c r="C12" s="515">
        <f>IF(ISNUMBER(
   IF(J_V="SI",(Datos!J12-Datos!T12)/Datos!T12,(Datos!J12+Datos!Z12-(Datos!T12+Datos!AH12))/(Datos!T12+Datos!AH12))
     ),IF(J_V="SI",(Datos!J12-Datos!T12)/Datos!T12,(Datos!J12+Datos!Z12-(Datos!T12+Datos!AH12))/(Datos!T12+Datos!AH12))," - ")</f>
        <v>0.2488646684831971</v>
      </c>
      <c r="D12" s="515">
        <f>IF(ISNUMBER(
   IF(J_V="SI",(Datos!K12-Datos!U12)/Datos!U12,(Datos!K12+Datos!AA12-(Datos!U12+Datos!AI12))/(Datos!U12+Datos!AI12))
     ),IF(J_V="SI",(Datos!K12-Datos!U12)/Datos!U12,(Datos!K12+Datos!AA12-(Datos!U12+Datos!AI12))/(Datos!U12+Datos!AI12))," - ")</f>
        <v>-6.7298578199052134E-2</v>
      </c>
      <c r="E12" s="515">
        <f>IF(ISNUMBER(
   IF(J_V="SI",(Datos!L12-Datos!V12)/Datos!V12,(Datos!L12+Datos!AB12-(Datos!V12+Datos!AJ12))/(Datos!V12+Datos!AJ12))
     ),IF(J_V="SI",(Datos!L12-Datos!V12)/Datos!V12,(Datos!L12+Datos!AB12-(Datos!V12+Datos!AJ12))/(Datos!V12+Datos!AJ12))," - ")</f>
        <v>0.4463276836158192</v>
      </c>
      <c r="F12" s="515">
        <f>IF(ISNUMBER((Datos!M12-Datos!W12)/Datos!W12),(Datos!M12-Datos!W12)/Datos!W12," - ")</f>
        <v>-7.6305220883534142E-2</v>
      </c>
      <c r="G12" s="516">
        <f>IF(ISNUMBER((Datos!N12-Datos!X12)/Datos!X12),(Datos!N12-Datos!X12)/Datos!X12," - ")</f>
        <v>9.0476190476190474E-2</v>
      </c>
      <c r="H12" s="514">
        <f>IF(ISNUMBER(((NºAsuntos!G12/NºAsuntos!E12)-Datos!BD12)/Datos!BD12),((NºAsuntos!G12/NºAsuntos!E12)-Datos!BD12)/Datos!BD12," - ")</f>
        <v>-0.25316053425247742</v>
      </c>
      <c r="I12" s="515">
        <f>IF(ISNUMBER(((NºAsuntos!I12/NºAsuntos!G12)-Datos!BE12)/Datos!BE12),((NºAsuntos!I12/NºAsuntos!G12)-Datos!BE12)/Datos!BE12," - ")</f>
        <v>0.550686693307611</v>
      </c>
      <c r="J12" s="521">
        <f>IF(ISNUMBER((('Resol  Asuntos'!D12/NºAsuntos!G12)-Datos!BF12)/Datos!BF12),(('Resol  Asuntos'!D12/NºAsuntos!G12)-Datos!BF12)/Datos!BF12," - ")</f>
        <v>0.1742644212156407</v>
      </c>
      <c r="K12" s="522">
        <f>IF(ISNUMBER((((NºAsuntos!C12+NºAsuntos!E12)/NºAsuntos!G12)-Datos!BG12)/Datos!BG12),(((NºAsuntos!C12+NºAsuntos!E12)/NºAsuntos!G12)-Datos!BG12)/Datos!BG12," - ")</f>
        <v>0.24387531092970074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3.864168618266979E-2</v>
      </c>
      <c r="C14" s="1152">
        <f>IF(ISNUMBER(
   IF(J_V="SI",(Datos!J14-Datos!T14)/Datos!T14,(Datos!J14+Datos!Z14-(Datos!T14+Datos!AH14))/(Datos!T14+Datos!AH14))
     ),IF(J_V="SI",(Datos!J14-Datos!T14)/Datos!T14,(Datos!J14+Datos!Z14-(Datos!T14+Datos!AH14))/(Datos!T14+Datos!AH14))," - ")</f>
        <v>0.24774774774774774</v>
      </c>
      <c r="D14" s="1152">
        <f>IF(ISNUMBER(
   IF(J_V="SI",(Datos!K14-Datos!U14)/Datos!U14,(Datos!K14+Datos!AA14-(Datos!U14+Datos!AI14))/(Datos!U14+Datos!AI14))
     ),IF(J_V="SI",(Datos!K14-Datos!U14)/Datos!U14,(Datos!K14+Datos!AA14-(Datos!U14+Datos!AI14))/(Datos!U14+Datos!AI14))," - ")</f>
        <v>-7.1094480823199246E-2</v>
      </c>
      <c r="E14" s="1152">
        <f>IF(ISNUMBER(
   IF(J_V="SI",(Datos!L14-Datos!V14)/Datos!V14,(Datos!L14+Datos!AB14-(Datos!V14+Datos!AJ14))/(Datos!V14+Datos!AJ14))
     ),IF(J_V="SI",(Datos!L14-Datos!V14)/Datos!V14,(Datos!L14+Datos!AB14-(Datos!V14+Datos!AJ14))/(Datos!V14+Datos!AJ14))," - ")</f>
        <v>0.44644870349492671</v>
      </c>
      <c r="F14" s="1153">
        <f>IF(ISNUMBER((Datos!M14-Datos!W14)/Datos!W14),(Datos!M14-Datos!W14)/Datos!W14," - ")</f>
        <v>-8.1081081081081086E-2</v>
      </c>
      <c r="G14" s="1154">
        <f>IF(ISNUMBER((Datos!N14-Datos!X14)/Datos!X14),(Datos!N14-Datos!X14)/Datos!X14," - ")</f>
        <v>8.5308056872037921E-2</v>
      </c>
      <c r="H14" s="1154">
        <f>IF(ISNUMBER(((NºAsuntos!G14/NºAsuntos!E14)-Datos!BD14)/Datos!BD14),((NºAsuntos!G14/NºAsuntos!E14)-Datos!BD14)/Datos!BD14," - ")</f>
        <v>-0.25553420484747386</v>
      </c>
      <c r="I14" s="1154">
        <f>IF(ISNUMBER(((NºAsuntos!I14/NºAsuntos!G14)-Datos!BE14)/Datos!BE14),((NºAsuntos!I14/NºAsuntos!G14)-Datos!BE14)/Datos!BE14," - ")</f>
        <v>0.55715374021759989</v>
      </c>
      <c r="J14" s="1154">
        <f>IF(ISNUMBER((('Resol  Asuntos'!D14/NºAsuntos!G14)-Datos!BF14)/Datos!BF14),(('Resol  Asuntos'!D14/NºAsuntos!G14)-Datos!BF14)/Datos!BF14," - ")</f>
        <v>0.16461594799963383</v>
      </c>
      <c r="K14" s="1154">
        <f>IF(ISNUMBER((((NºAsuntos!C14+NºAsuntos!E14)/NºAsuntos!G14)-Datos!BG14)/Datos!BG14),(((NºAsuntos!C14+NºAsuntos!E14)/NºAsuntos!G14)-Datos!BG14)/Datos!BG14," - ")</f>
        <v>0.24536111230753785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2.8503562945368172E-2</v>
      </c>
      <c r="C17" s="515">
        <f>IF(ISNUMBER(
   IF(D_I="SI",(Datos!J17-Datos!T17)/Datos!T17,(Datos!J17+Datos!AD17-(Datos!T17+Datos!AL17))/(Datos!T17+Datos!AL17))
     ),IF(D_I="SI",(Datos!J17-Datos!T17)/Datos!T17,(Datos!J17+Datos!AD17-(Datos!T17+Datos!AL17))/(Datos!T17+Datos!AL17))," - ")</f>
        <v>4.9789352738414403E-3</v>
      </c>
      <c r="D17" s="515">
        <f>IF(ISNUMBER(
   IF(D_I="SI",(Datos!K17-Datos!U17)/Datos!U17,(Datos!K17+Datos!AE17-(Datos!U17+Datos!AM17))/(Datos!U17+Datos!AM17))
     ),IF(D_I="SI",(Datos!K17-Datos!U17)/Datos!U17,(Datos!K17+Datos!AE17-(Datos!U17+Datos!AM17))/(Datos!U17+Datos!AM17))," - ")</f>
        <v>-1.5420200462606013E-3</v>
      </c>
      <c r="E17" s="515">
        <f>IF(ISNUMBER(
   IF(D_I="SI",(Datos!L17-Datos!V17)/Datos!V17,(Datos!L17+Datos!AF17-(Datos!V17+Datos!AN17))/(Datos!V17+Datos!AN17))
     ),IF(D_I="SI",(Datos!L17-Datos!V17)/Datos!V17,(Datos!L17+Datos!AF17-(Datos!V17+Datos!AN17))/(Datos!V17+Datos!AN17))," - ")</f>
        <v>6.2355658198614321E-2</v>
      </c>
      <c r="F17" s="515">
        <f>IF(ISNUMBER((Datos!M17-Datos!W17)/Datos!W17),(Datos!M17-Datos!W17)/Datos!W17," - ")</f>
        <v>9.7165991902834009E-2</v>
      </c>
      <c r="G17" s="516">
        <f>IF(ISNUMBER((Datos!N17-Datos!X17)/Datos!X17),(Datos!N17-Datos!X17)/Datos!X17," - ")</f>
        <v>3.0071077091306724E-2</v>
      </c>
      <c r="H17" s="514">
        <f>IF(ISNUMBER(((NºAsuntos!G17/NºAsuntos!E17)-Datos!BD17)/Datos!BD17),((NºAsuntos!G17/NºAsuntos!E17)-Datos!BD17)/Datos!BD17," - ")</f>
        <v>-6.488648757921653E-3</v>
      </c>
      <c r="I17" s="515">
        <f>IF(ISNUMBER(((NºAsuntos!I17/NºAsuntos!G17)-Datos!BE17)/Datos!BE17),((NºAsuntos!I17/NºAsuntos!G17)-Datos!BE17)/Datos!BE17," - ")</f>
        <v>6.3996361917839972E-2</v>
      </c>
      <c r="J17" s="521">
        <f>IF(ISNUMBER((('Resol  Asuntos'!D17/NºAsuntos!G17)-Datos!BF17)/Datos!BF17),(('Resol  Asuntos'!D17/NºAsuntos!G17)-Datos!BF17)/Datos!BF17," - ")</f>
        <v>9.8860456755193685E-2</v>
      </c>
      <c r="K17" s="522">
        <f>IF(ISNUMBER((((NºAsuntos!C17+NºAsuntos!E17)/NºAsuntos!G17)-Datos!BG17)/Datos!BG17),(((NºAsuntos!C17+NºAsuntos!E17)/NºAsuntos!G17)-Datos!BG17)/Datos!BG17," - ")</f>
        <v>9.8025183117532305E-3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v>
      </c>
      <c r="C18" s="515">
        <f>IF(ISNUMBER(
   IF(D_I="SI",(Datos!J18-Datos!T18)/Datos!T18,(Datos!J18+Datos!AD18-(Datos!T18+Datos!AL18))/(Datos!T18+Datos!AL18))
     ),IF(D_I="SI",(Datos!J18-Datos!T18)/Datos!T18,(Datos!J18+Datos!AD18-(Datos!T18+Datos!AL18))/(Datos!T18+Datos!AL18))," - ")</f>
        <v>0.27659574468085107</v>
      </c>
      <c r="D18" s="515">
        <f>IF(ISNUMBER(
   IF(D_I="SI",(Datos!K18-Datos!U18)/Datos!U18,(Datos!K18+Datos!AE18-(Datos!U18+Datos!AM18))/(Datos!U18+Datos!AM18))
     ),IF(D_I="SI",(Datos!K18-Datos!U18)/Datos!U18,(Datos!K18+Datos!AE18-(Datos!U18+Datos!AM18))/(Datos!U18+Datos!AM18))," - ")</f>
        <v>0.32971014492753625</v>
      </c>
      <c r="E18" s="515">
        <f>IF(ISNUMBER(
   IF(D_I="SI",(Datos!L18-Datos!V18)/Datos!V18,(Datos!L18+Datos!AF18-(Datos!V18+Datos!AN18))/(Datos!V18+Datos!AN18))
     ),IF(D_I="SI",(Datos!L18-Datos!V18)/Datos!V18,(Datos!L18+Datos!AF18-(Datos!V18+Datos!AN18))/(Datos!V18+Datos!AN18))," - ")</f>
        <v>-0.22580645161290322</v>
      </c>
      <c r="F18" s="515">
        <f>IF(ISNUMBER((Datos!M18-Datos!W18)/Datos!W18),(Datos!M18-Datos!W18)/Datos!W18," - ")</f>
        <v>-0.33333333333333331</v>
      </c>
      <c r="G18" s="516">
        <f>IF(ISNUMBER((Datos!N18-Datos!X18)/Datos!X18),(Datos!N18-Datos!X18)/Datos!X18," - ")</f>
        <v>0.49275362318840582</v>
      </c>
      <c r="H18" s="514">
        <f>IF(ISNUMBER(((NºAsuntos!G18/NºAsuntos!E18)-Datos!BD18)/Datos!BD18),((NºAsuntos!G18/NºAsuntos!E18)-Datos!BD18)/Datos!BD18," - ")</f>
        <v>4.1606280193236679E-2</v>
      </c>
      <c r="I18" s="515">
        <f>IF(ISNUMBER(((NºAsuntos!I18/NºAsuntos!G18)-Datos!BE18)/Datos!BE18),((NºAsuntos!I18/NºAsuntos!G18)-Datos!BE18)/Datos!BE18," - ")</f>
        <v>-0.41777269930561667</v>
      </c>
      <c r="J18" s="521">
        <f>IF(ISNUMBER((('Resol  Asuntos'!D18/NºAsuntos!G18)-Datos!BF18)/Datos!BF18),(('Resol  Asuntos'!D18/NºAsuntos!G18)-Datos!BF18)/Datos!BF18," - ")</f>
        <v>-0.49863760217983655</v>
      </c>
      <c r="K18" s="522">
        <f>IF(ISNUMBER((((NºAsuntos!C18+NºAsuntos!E18)/NºAsuntos!G18)-Datos!BG18)/Datos!BG18),(((NºAsuntos!C18+NºAsuntos!E18)/NºAsuntos!G18)-Datos!BG18)/Datos!BG18," - ")</f>
        <v>-4.2185516867993836E-2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4.0358744394618833E-2</v>
      </c>
      <c r="C23" s="1152">
        <f>IF(ISNUMBER(
   IF(Criterios!B14="SI",(Datos!J23-Datos!T23)/Datos!T23,(Datos!J23+Datos!AD23-(Datos!T23+Datos!AL23))/(Datos!T23+Datos!AL23))
     ),IF(Criterios!B14="SI",(Datos!J23-Datos!T23)/Datos!T23,(Datos!J23+Datos!AD23-(Datos!T23+Datos!AL23))/(Datos!T23+Datos!AL23))," - ")</f>
        <v>3.1455236778430692E-2</v>
      </c>
      <c r="D23" s="1152">
        <f>IF(ISNUMBER(
   IF(Criterios!B14="SI",(Datos!K23-Datos!U23)/Datos!U23,(Datos!K23+Datos!AE23-(Datos!U23+Datos!AM23))/(Datos!U23+Datos!AM23))
     ),IF(Criterios!B14="SI",(Datos!K23-Datos!U23)/Datos!U23,(Datos!K23+Datos!AE23-(Datos!U23+Datos!AM23))/(Datos!U23+Datos!AM23))," - ")</f>
        <v>3.0313588850174215E-2</v>
      </c>
      <c r="E23" s="1152">
        <f>IF(ISNUMBER(
   IF(Criterios!B14="SI",(Datos!L23-Datos!V23)/Datos!V23,(Datos!L23+Datos!AF23-(Datos!V23+Datos!AN23))/(Datos!V23+Datos!AN23))
     ),IF(Criterios!B14="SI",(Datos!L23-Datos!V23)/Datos!V23,(Datos!L23+Datos!AF23-(Datos!V23+Datos!AN23))/(Datos!V23+Datos!AN23))," - ")</f>
        <v>4.3103448275862072E-2</v>
      </c>
      <c r="F23" s="1153">
        <f>IF(ISNUMBER((Datos!M23-Datos!W23)/Datos!W23),(Datos!M23-Datos!W23)/Datos!W23," - ")</f>
        <v>4.2402826855123678E-2</v>
      </c>
      <c r="G23" s="1154">
        <f>IF(ISNUMBER((Datos!N23-Datos!X23)/Datos!X23),(Datos!N23-Datos!X23)/Datos!X23," - ")</f>
        <v>7.7111984282907664E-2</v>
      </c>
      <c r="H23" s="1154">
        <f>IF(ISNUMBER(((NºAsuntos!G23/NºAsuntos!E23)-Datos!BD23)/Datos!BD23),((NºAsuntos!G23/NºAsuntos!E23)-Datos!BD23)/Datos!BD23," - ")</f>
        <v>-1.1068322575220558E-3</v>
      </c>
      <c r="I23" s="1154">
        <f>IF(ISNUMBER(((NºAsuntos!I23/NºAsuntos!G23)-Datos!BE23)/Datos!BE23),((NºAsuntos!I23/NºAsuntos!G23)-Datos!BE23)/Datos!BE23," - ")</f>
        <v>1.2413559875456342E-2</v>
      </c>
      <c r="J23" s="1154">
        <f>IF(ISNUMBER((('Resol  Asuntos'!D23/NºAsuntos!G23)-Datos!BF23)/Datos!BF23),(('Resol  Asuntos'!D23/NºAsuntos!G23)-Datos!BF23)/Datos!BF23," - ")</f>
        <v>1.1733551935814997E-2</v>
      </c>
      <c r="K23" s="1154">
        <f>IF(ISNUMBER((((NºAsuntos!C23+NºAsuntos!E23)/NºAsuntos!G23)-Datos!BG23)/Datos!BG23),(((NºAsuntos!C23+NºAsuntos!E23)/NºAsuntos!G23)-Datos!BG23)/Datos!BG23," - ")</f>
        <v>2.2623359700076106E-3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3.9230769230769229E-2</v>
      </c>
      <c r="C31" s="1092">
        <f>IF(ISNUMBER(
   IF(J_V="SI",(Datos!J31-Datos!T31)/Datos!T31,(Datos!J31+Datos!Z31-(Datos!T31+Datos!AH31))/(Datos!T31+Datos!AH31))
     ),IF(J_V="SI",(Datos!J31-Datos!T31)/Datos!T31,(Datos!J31+Datos!Z31-(Datos!T31+Datos!AH31))/(Datos!T31+Datos!AH31))," - ")</f>
        <v>9.1431426430177362E-2</v>
      </c>
      <c r="D31" s="1092">
        <f>IF(ISNUMBER(
   IF(J_V="SI",(Datos!K31-Datos!U31)/Datos!U31,(Datos!K31+Datos!AA31-(Datos!U31+Datos!AI31))/(Datos!U31+Datos!AI31))
     ),IF(J_V="SI",(Datos!K31-Datos!U31)/Datos!U31,(Datos!K31+Datos!AA31-(Datos!U31+Datos!AI31))/(Datos!U31+Datos!AI31))," - ")</f>
        <v>2.7925869510027927E-3</v>
      </c>
      <c r="E31" s="1092">
        <f>IF(ISNUMBER(
   IF(J_V="SI",(Datos!L31-Datos!V31)/Datos!V31,(Datos!L31+Datos!AB31-(Datos!V31+Datos!AJ31))/(Datos!V31+Datos!AJ31))
     ),IF(J_V="SI",(Datos!L31-Datos!V31)/Datos!V31,(Datos!L31+Datos!AB31-(Datos!V31+Datos!AJ31))/(Datos!V31+Datos!AJ31))," - ")</f>
        <v>0.307920059215396</v>
      </c>
      <c r="F31" s="1093">
        <f>IF(ISNUMBER((Datos!M31-Datos!W31)/Datos!W31),(Datos!M31-Datos!W31)/Datos!W31," - ")</f>
        <v>-1.6605166051660517E-2</v>
      </c>
      <c r="G31" s="1094">
        <f>IF(ISNUMBER((Datos!N31-Datos!X31)/Datos!X31),(Datos!N31-Datos!X31)/Datos!X31," - ")</f>
        <v>7.7881619937694699E-2</v>
      </c>
      <c r="H31" s="1095">
        <f>IF(ISNUMBER((Tasas!B31-Datos!BD31)/Datos!BD31),(Tasas!B31-Datos!BD31)/Datos!BD31," - ")</f>
        <v>-8.1213383940292039E-2</v>
      </c>
      <c r="I31" s="1096">
        <f>IF(ISNUMBER((Tasas!C31-Datos!BE31)/Datos!BE31),(Tasas!C31-Datos!BE31)/Datos!BE31," - ")</f>
        <v>0.30427775018973297</v>
      </c>
      <c r="J31" s="1097">
        <f>IF(ISNUMBER((Tasas!D31-Datos!BF31)/Datos!BF31),(Tasas!D31-Datos!BF31)/Datos!BF31," - ")</f>
        <v>5.6691244935450469E-2</v>
      </c>
      <c r="K31" s="1097">
        <f>IF(ISNUMBER((Tasas!E31-Datos!BG31)/Datos!BG31),(Tasas!E31-Datos!BG31)/Datos!BG31," - ")</f>
        <v>7.5630942122562522E-2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K7bwm/D730Ftaukl/+URq46DXr3YraG3VfrPjOAEYTwsUBsdD0zV06XF7IoRQTmBNxQ3QTENJAFsY27qN5Akw==" saltValue="4y9nEWySBiqQYljeKOVW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LOS LLANOS DE ARIDANE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v>
      </c>
      <c r="C10" s="498">
        <f>IF(ISNUMBER(NºAsuntos!I10/NºAsuntos!G10),NºAsuntos!I10/NºAsuntos!G10," - ")</f>
        <v>0.33333333333333331</v>
      </c>
      <c r="D10" s="499">
        <f>IF(ISNUMBER('Resol  Asuntos'!D10/NºAsuntos!G10),'Resol  Asuntos'!D10/NºAsuntos!G10," - ")</f>
        <v>0.88888888888888884</v>
      </c>
      <c r="E10" s="500">
        <f>IF(ISNUMBER((NºAsuntos!C10+NºAsuntos!E10)/NºAsuntos!G10),(NºAsuntos!C10+NºAsuntos!E10)/NºAsuntos!G10," - ")</f>
        <v>1.3333333333333333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0.71563636363636363</v>
      </c>
      <c r="C12" s="498">
        <f>IF(ISNUMBER(NºAsuntos!I12/NºAsuntos!G12),NºAsuntos!I12/NºAsuntos!G12," - ")</f>
        <v>1.3008130081300813</v>
      </c>
      <c r="D12" s="499">
        <f>IF(ISNUMBER('Resol  Asuntos'!D12/NºAsuntos!G12),'Resol  Asuntos'!D12/NºAsuntos!G12," - ")</f>
        <v>0.23373983739837398</v>
      </c>
      <c r="E12" s="500">
        <f>IF(ISNUMBER((NºAsuntos!C12+NºAsuntos!E12)/NºAsuntos!G12),(NºAsuntos!C12+NºAsuntos!E12)/NºAsuntos!G12," - ")</f>
        <v>2.2967479674796749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0.71696750902527073</v>
      </c>
      <c r="C14" s="1156">
        <f>IF(ISNUMBER(NºAsuntos!I14/NºAsuntos!G14),NºAsuntos!I14/NºAsuntos!G14," - ")</f>
        <v>1.2920443101711985</v>
      </c>
      <c r="D14" s="1157">
        <f>IF(ISNUMBER('Resol  Asuntos'!D14/NºAsuntos!G14),'Resol  Asuntos'!D14/NºAsuntos!G14," - ")</f>
        <v>0.23967774420946628</v>
      </c>
      <c r="E14" s="1158">
        <f>IF(ISNUMBER((NºAsuntos!C14+NºAsuntos!E14)/NºAsuntos!G14),(NºAsuntos!C14+NºAsuntos!E14)/NºAsuntos!G14," - ")</f>
        <v>2.2880161127895269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0.98704268292682928</v>
      </c>
      <c r="C17" s="498">
        <f>IF(ISNUMBER(NºAsuntos!I17/NºAsuntos!G17),NºAsuntos!I17/NºAsuntos!G17," - ")</f>
        <v>0.17760617760617761</v>
      </c>
      <c r="D17" s="499">
        <f>IF(ISNUMBER('Resol  Asuntos'!D17/NºAsuntos!G17),'Resol  Asuntos'!D17/NºAsuntos!G17," - ")</f>
        <v>0.10463320463320464</v>
      </c>
      <c r="E17" s="500">
        <f>IF(ISNUMBER((NºAsuntos!C17+NºAsuntos!E17)/NºAsuntos!G17),(NºAsuntos!C17+NºAsuntos!E17)/NºAsuntos!G17," - ")</f>
        <v>1.1803088803088804</v>
      </c>
      <c r="G17" s="523"/>
    </row>
    <row r="18" spans="1:7">
      <c r="A18" s="450" t="str">
        <f>Datos!A18</f>
        <v>Jdos. Violencia contra la mujer</v>
      </c>
      <c r="B18" s="497">
        <f>IF(ISNUMBER(NºAsuntos!G18/NºAsuntos!E18),NºAsuntos!G18/NºAsuntos!E18," - ")</f>
        <v>1.0194444444444444</v>
      </c>
      <c r="C18" s="498">
        <f>IF(ISNUMBER(NºAsuntos!I18/NºAsuntos!G18),NºAsuntos!I18/NºAsuntos!G18," - ")</f>
        <v>6.5395095367847406E-2</v>
      </c>
      <c r="D18" s="499">
        <f>IF(ISNUMBER('Resol  Asuntos'!D18/NºAsuntos!G18),'Resol  Asuntos'!D18/NºAsuntos!G18," - ")</f>
        <v>6.5395095367847406E-2</v>
      </c>
      <c r="E18" s="500">
        <f>IF(ISNUMBER((NºAsuntos!C18+NºAsuntos!E18)/NºAsuntos!G18),(NºAsuntos!C18+NºAsuntos!E18)/NºAsuntos!G18," - ")</f>
        <v>1.0653950953678475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0.99095174262734587</v>
      </c>
      <c r="C23" s="1156">
        <f>IF(ISNUMBER(NºAsuntos!I23/NºAsuntos!G23),NºAsuntos!I23/NºAsuntos!G23," - ")</f>
        <v>0.16367940480216436</v>
      </c>
      <c r="D23" s="1159">
        <f>IF(ISNUMBER('Resol  Asuntos'!D23/NºAsuntos!G23),'Resol  Asuntos'!D23/NºAsuntos!G23," - ")</f>
        <v>9.9763273588096044E-2</v>
      </c>
      <c r="E23" s="1158">
        <f>IF(ISNUMBER((NºAsuntos!C23+NºAsuntos!E23)/NºAsuntos!G23),(NºAsuntos!C23+NºAsuntos!E23)/NºAsuntos!G23," - ")</f>
        <v>1.1660466689212039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0.904097047379263</v>
      </c>
      <c r="C31" s="1099">
        <f>IF(ISNUMBER(NºAsuntos!I31/NºAsuntos!G31),NºAsuntos!I31/NºAsuntos!G31," - ")</f>
        <v>0.44734177215189874</v>
      </c>
      <c r="D31" s="1100">
        <f>IF(ISNUMBER('Resol  Asuntos'!D31/NºAsuntos!G31),'Resol  Asuntos'!D31/NºAsuntos!G31," - ")</f>
        <v>0.13493670886075948</v>
      </c>
      <c r="E31" s="1101">
        <f>IF(ISNUMBER((NºAsuntos!C31+NºAsuntos!E31)/NºAsuntos!G31),(NºAsuntos!C31+NºAsuntos!E31)/NºAsuntos!G31," - ")</f>
        <v>1.4481012658227848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1m4kew0Y6drskevpjvLv42aTDlQweYxDIBWGm4s4+eN1sQaLbtRKdFtW5VLqSwZ82dZnLeawyiUCmU+CCATeQ==" saltValue="9zJYygwDIhXfStdDZt+5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LOS LLANOS DE ARIDANE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1</v>
      </c>
      <c r="Y10" s="374">
        <f t="shared" ref="Y10:Y13" si="0">SUM(W10:X10)</f>
        <v>10</v>
      </c>
      <c r="Z10" s="375" t="str">
        <f>IF(ISNUMBER(Datos!CC10),Datos!CC10," - ")</f>
        <v xml:space="preserve"> - </v>
      </c>
      <c r="AA10" s="372">
        <f>IF(ISNUMBER(Datos!L10),Datos!L10,"-")</f>
        <v>3</v>
      </c>
      <c r="AB10" s="374">
        <f>IF(ISNUMBER(Datos!R10),Datos!R10," - ")</f>
        <v>4</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0.9</v>
      </c>
      <c r="AM10" s="284">
        <f>IF(ISNUMBER(((NºAsuntos!I10/NºAsuntos!G10)*11)/factor_trimestre),((NºAsuntos!I10/NºAsuntos!G10)*11)/factor_trimestre," - ")</f>
        <v>3.6666666666666665</v>
      </c>
      <c r="AN10" s="267">
        <f>IF(ISNUMBER('Resol  Asuntos'!D10/NºAsuntos!G10),'Resol  Asuntos'!D10/NºAsuntos!G10," - ")</f>
        <v>0.88888888888888884</v>
      </c>
      <c r="AO10" s="268">
        <f>IF(ISNUMBER((NºAsuntos!C10+NºAsuntos!E10)/NºAsuntos!G10),(NºAsuntos!C10+NºAsuntos!E10)/NºAsuntos!G10," - ")</f>
        <v>1.3333333333333333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122</v>
      </c>
      <c r="Y12" s="374">
        <f t="shared" si="0"/>
        <v>122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230</v>
      </c>
      <c r="AJ12" s="243" t="str">
        <f>IF(ISNUMBER(Datos!BW12),Datos!BW12," - ")</f>
        <v xml:space="preserve"> - </v>
      </c>
      <c r="AK12" s="242" t="str">
        <f>IF(ISNUMBER(Datos!BX12),Datos!BX12," - ")</f>
        <v xml:space="preserve"> - </v>
      </c>
      <c r="AL12" s="266">
        <f>IF(ISNUMBER(NºAsuntos!G12/NºAsuntos!E12),NºAsuntos!G12/NºAsuntos!E12," - ")</f>
        <v>0.71563636363636363</v>
      </c>
      <c r="AM12" s="284">
        <f>IF(ISNUMBER(((NºAsuntos!I12/NºAsuntos!G12)*11)/factor_trimestre),((NºAsuntos!I12/NºAsuntos!G12)*11)/factor_trimestre," - ")</f>
        <v>14.308943089430894</v>
      </c>
      <c r="AN12" s="267">
        <f>IF(ISNUMBER('Resol  Asuntos'!D12/NºAsuntos!G12),'Resol  Asuntos'!D12/NºAsuntos!G12," - ")</f>
        <v>0.23373983739837398</v>
      </c>
      <c r="AO12" s="268">
        <f>IF(ISNUMBER((NºAsuntos!C12+NºAsuntos!E12)/NºAsuntos!G12),(NºAsuntos!C12+NºAsuntos!E12)/NºAsuntos!G12," - ")</f>
        <v>2.2967479674796749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325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123</v>
      </c>
      <c r="Y14" s="1165">
        <f t="shared" si="6"/>
        <v>132</v>
      </c>
      <c r="Z14" s="1165">
        <f t="shared" si="6"/>
        <v>0</v>
      </c>
      <c r="AA14" s="1165">
        <f t="shared" si="6"/>
        <v>3</v>
      </c>
      <c r="AB14" s="1165">
        <f t="shared" si="6"/>
        <v>1876</v>
      </c>
      <c r="AC14" s="1165">
        <f t="shared" si="6"/>
        <v>7</v>
      </c>
      <c r="AD14" s="1165">
        <f t="shared" si="6"/>
        <v>0</v>
      </c>
      <c r="AE14" s="1169">
        <f t="shared" si="6"/>
        <v>0</v>
      </c>
      <c r="AF14" s="1162">
        <f t="shared" si="6"/>
        <v>0</v>
      </c>
      <c r="AG14" s="1170">
        <f t="shared" si="6"/>
        <v>0</v>
      </c>
      <c r="AH14" s="1167">
        <f t="shared" si="6"/>
        <v>0</v>
      </c>
      <c r="AI14" s="1162">
        <f t="shared" si="6"/>
        <v>238</v>
      </c>
      <c r="AJ14" s="1164">
        <f t="shared" si="6"/>
        <v>0</v>
      </c>
      <c r="AK14" s="1167">
        <f>SUBTOTAL(9,AK9:AK13)</f>
        <v>0</v>
      </c>
      <c r="AL14" s="1171">
        <f>IF(ISNUMBER(NºAsuntos!G14/NºAsuntos!E14),NºAsuntos!G14/NºAsuntos!E14," - ")</f>
        <v>0.71696750902527073</v>
      </c>
      <c r="AM14" s="1171">
        <f>IF(ISNUMBER(((NºAsuntos!I14/NºAsuntos!G14)*11)/factor_trimestre),((NºAsuntos!I14/NºAsuntos!G14)*11)/factor_trimestre," - ")</f>
        <v>14.212487411883183</v>
      </c>
      <c r="AN14" s="1172">
        <f>IF(ISNUMBER('Resol  Asuntos'!D14/NºAsuntos!G14),'Resol  Asuntos'!D14/NºAsuntos!G14," - ")</f>
        <v>0.23967774420946628</v>
      </c>
      <c r="AO14" s="1173">
        <f>IF(ISNUMBER((NºAsuntos!C14+NºAsuntos!E14)/NºAsuntos!G14),(NºAsuntos!C14+NºAsuntos!E14)/NºAsuntos!G14," - ")</f>
        <v>2.2880161127895269</v>
      </c>
      <c r="AP14" s="1174" t="str">
        <f t="shared" si="2"/>
        <v xml:space="preserve"> - </v>
      </c>
      <c r="AQ14" s="1174">
        <f>IF(ISNUMBER((H14-W14+K14)/(F14)),(H14-W14+K14)/(F14)," - ")</f>
        <v>-4.5</v>
      </c>
      <c r="AR14" s="1175">
        <f>IF(ISNUMBER((Datos!P14-Datos!Q14)/(Datos!R14-Datos!P14+Datos!Q14)),(Datos!P14-Datos!Q14)/(Datos!R14-Datos!P14+Datos!Q14)," - ")</f>
        <v>0.12066905615292713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426</v>
      </c>
      <c r="G17" s="373">
        <f>IF(ISNUMBER(IF(D_I="SI",Datos!I17,Datos!I17+Datos!AC17)),IF(D_I="SI",Datos!I17,Datos!I17+Datos!AC17)," - ")</f>
        <v>433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2590</v>
      </c>
      <c r="X17" s="240">
        <f>IF(ISNUMBER(Datos!Q17),Datos!Q17," - ")</f>
        <v>73</v>
      </c>
      <c r="Y17" s="374">
        <f t="shared" ref="Y17:Y22" si="9">SUM(W17:X17)</f>
        <v>2663</v>
      </c>
      <c r="Z17" s="375" t="str">
        <f>IF(ISNUMBER(Datos!CC17),Datos!CC17," - ")</f>
        <v xml:space="preserve"> - </v>
      </c>
      <c r="AA17" s="372">
        <f>IF(ISNUMBER(IF(D_I="SI",Datos!L17,Datos!L17+Datos!AF17)),IF(D_I="SI",Datos!L17,Datos!L17+Datos!AF17)," - ")</f>
        <v>460</v>
      </c>
      <c r="AB17" s="374">
        <f>IF(ISNUMBER(Datos!R17),Datos!R17," - ")</f>
        <v>41</v>
      </c>
      <c r="AC17" s="374">
        <f t="shared" si="8"/>
        <v>501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271</v>
      </c>
      <c r="AJ17" s="245" t="str">
        <f>IF(ISNUMBER(Datos!BW17),Datos!BW17," - ")</f>
        <v xml:space="preserve"> - </v>
      </c>
      <c r="AK17" s="246" t="str">
        <f>IF(ISNUMBER(Datos!BX17),Datos!BX17," - ")</f>
        <v xml:space="preserve"> - </v>
      </c>
      <c r="AL17" s="266">
        <f>IF(ISNUMBER(NºAsuntos!G17/NºAsuntos!E17),NºAsuntos!G17/NºAsuntos!E17," - ")</f>
        <v>0.98704268292682928</v>
      </c>
      <c r="AM17" s="284">
        <f>IF(ISNUMBER(((NºAsuntos!I17/NºAsuntos!G17)*11)/factor_trimestre),((NºAsuntos!I17/NºAsuntos!G17)*11)/factor_trimestre," - ")</f>
        <v>1.9536679536679538</v>
      </c>
      <c r="AN17" s="267">
        <f>IF(ISNUMBER('Resol  Asuntos'!D17/NºAsuntos!G17),'Resol  Asuntos'!D17/NºAsuntos!G17," - ")</f>
        <v>0.10463320463320464</v>
      </c>
      <c r="AO17" s="268">
        <f>IF(ISNUMBER((NºAsuntos!C17+NºAsuntos!E17)/NºAsuntos!G17),(NºAsuntos!C17+NºAsuntos!E17)/NºAsuntos!G17," - ")</f>
        <v>1.1803088803088804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367</v>
      </c>
      <c r="X18" s="240">
        <f>IF(ISNUMBER(Datos!Q18),Datos!Q18," - ")</f>
        <v>3</v>
      </c>
      <c r="Y18" s="374">
        <f t="shared" si="9"/>
        <v>370</v>
      </c>
      <c r="Z18" s="375" t="str">
        <f>IF(ISNUMBER(Datos!CC18),Datos!CC18," - ")</f>
        <v xml:space="preserve"> - </v>
      </c>
      <c r="AA18" s="372">
        <f>IF(ISNUMBER(Datos!L18),Datos!L18,"-")</f>
        <v>24</v>
      </c>
      <c r="AB18" s="374">
        <f>IF(ISNUMBER(Datos!R18),Datos!R18," - ")</f>
        <v>1</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v>
      </c>
      <c r="AJ18" s="245" t="str">
        <f>IF(ISNUMBER(Datos!BW18),Datos!BW18," - ")</f>
        <v xml:space="preserve"> - </v>
      </c>
      <c r="AK18" s="246" t="str">
        <f>IF(ISNUMBER(Datos!BX18),Datos!BX18," - ")</f>
        <v xml:space="preserve"> - </v>
      </c>
      <c r="AL18" s="266">
        <f>IF(ISNUMBER(NºAsuntos!G18/NºAsuntos!E18),NºAsuntos!G18/NºAsuntos!E18," - ")</f>
        <v>1.0194444444444444</v>
      </c>
      <c r="AM18" s="284">
        <f>IF(ISNUMBER(((NºAsuntos!I18/NºAsuntos!G18)*11)/factor_trimestre),((NºAsuntos!I18/NºAsuntos!G18)*11)/factor_trimestre," - ")</f>
        <v>0.71934604904632149</v>
      </c>
      <c r="AN18" s="267">
        <f>IF(ISNUMBER('Resol  Asuntos'!D18/NºAsuntos!G18),'Resol  Asuntos'!D18/NºAsuntos!G18," - ")</f>
        <v>6.5395095367847406E-2</v>
      </c>
      <c r="AO18" s="268">
        <f>IF(ISNUMBER((NºAsuntos!C18+NºAsuntos!E18)/NºAsuntos!G18),(NºAsuntos!C18+NºAsuntos!E18)/NºAsuntos!G18," - ")</f>
        <v>1.0653950953678475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426</v>
      </c>
      <c r="G23" s="1163">
        <f>SUBTOTAL(9,G16:G22)</f>
        <v>464</v>
      </c>
      <c r="H23" s="1162">
        <f t="shared" ref="H23:O23" si="13">SUBTOTAL(9,H15:H22)</f>
        <v>0</v>
      </c>
      <c r="I23" s="1164">
        <f t="shared" si="13"/>
        <v>0</v>
      </c>
      <c r="J23" s="1164">
        <f t="shared" si="13"/>
        <v>0</v>
      </c>
      <c r="K23" s="1164">
        <f t="shared" si="13"/>
        <v>0</v>
      </c>
      <c r="L23" s="1164">
        <f t="shared" si="13"/>
        <v>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2957</v>
      </c>
      <c r="X23" s="1164">
        <f t="shared" si="14"/>
        <v>76</v>
      </c>
      <c r="Y23" s="1165">
        <f t="shared" si="14"/>
        <v>3033</v>
      </c>
      <c r="Z23" s="1165">
        <f t="shared" si="14"/>
        <v>0</v>
      </c>
      <c r="AA23" s="1165">
        <f t="shared" si="14"/>
        <v>484</v>
      </c>
      <c r="AB23" s="1165">
        <f t="shared" si="14"/>
        <v>42</v>
      </c>
      <c r="AC23" s="1165">
        <f t="shared" si="14"/>
        <v>526</v>
      </c>
      <c r="AD23" s="1165">
        <f t="shared" si="14"/>
        <v>0</v>
      </c>
      <c r="AE23" s="1169">
        <f t="shared" si="14"/>
        <v>0</v>
      </c>
      <c r="AF23" s="1162">
        <f t="shared" si="14"/>
        <v>0</v>
      </c>
      <c r="AG23" s="1170">
        <f t="shared" si="14"/>
        <v>0</v>
      </c>
      <c r="AH23" s="1167">
        <f t="shared" si="14"/>
        <v>0</v>
      </c>
      <c r="AI23" s="1162">
        <f t="shared" si="14"/>
        <v>295</v>
      </c>
      <c r="AJ23" s="1164">
        <f t="shared" si="14"/>
        <v>0</v>
      </c>
      <c r="AK23" s="1167">
        <f t="shared" si="14"/>
        <v>0</v>
      </c>
      <c r="AL23" s="1171">
        <f>IF(ISNUMBER(NºAsuntos!G23/NºAsuntos!E23),NºAsuntos!G23/NºAsuntos!E23," - ")</f>
        <v>0.99095174262734587</v>
      </c>
      <c r="AM23" s="1171">
        <f>IF(ISNUMBER(((NºAsuntos!I23/NºAsuntos!G23)*11)/factor_trimestre),((NºAsuntos!I23/NºAsuntos!G23)*11)/factor_trimestre," - ")</f>
        <v>1.800473452823808</v>
      </c>
      <c r="AN23" s="1172">
        <f>IF(ISNUMBER('Resol  Asuntos'!D23/NºAsuntos!G23),'Resol  Asuntos'!D23/NºAsuntos!G23," - ")</f>
        <v>9.9763273588096044E-2</v>
      </c>
      <c r="AO23" s="1173">
        <f>IF(ISNUMBER((NºAsuntos!C23+NºAsuntos!E23)/NºAsuntos!G23),(NºAsuntos!C23+NºAsuntos!E23)/NºAsuntos!G23," - ")</f>
        <v>1.1660466689212039</v>
      </c>
      <c r="AP23" s="1174" t="str">
        <f t="shared" si="2"/>
        <v xml:space="preserve"> - </v>
      </c>
      <c r="AQ23" s="1174">
        <f>IF(ISNUMBER((H23-W23+K23)/(F23)),(H23-W23+K23)/(F23)," - ")</f>
        <v>-6.94131455399061</v>
      </c>
      <c r="AR23" s="1175">
        <f>IF(ISNUMBER((Datos!P23-Datos!Q23)/(Datos!R23-Datos!P23+Datos!Q23)),(Datos!P23-Datos!Q23)/(Datos!R23-Datos!P23+Datos!Q23)," - ")</f>
        <v>-0.34375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428</v>
      </c>
      <c r="G31" s="1118">
        <f t="shared" si="20"/>
        <v>466</v>
      </c>
      <c r="H31" s="1117">
        <f t="shared" si="20"/>
        <v>0</v>
      </c>
      <c r="I31" s="1119">
        <f t="shared" si="20"/>
        <v>0</v>
      </c>
      <c r="J31" s="1119">
        <f t="shared" si="20"/>
        <v>0</v>
      </c>
      <c r="K31" s="1180">
        <f t="shared" si="20"/>
        <v>0</v>
      </c>
      <c r="L31" s="1119">
        <f t="shared" si="20"/>
        <v>379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2966</v>
      </c>
      <c r="X31" s="1118">
        <f t="shared" si="21"/>
        <v>199</v>
      </c>
      <c r="Y31" s="1125">
        <f t="shared" si="21"/>
        <v>3165</v>
      </c>
      <c r="Z31" s="1125">
        <f t="shared" si="21"/>
        <v>0</v>
      </c>
      <c r="AA31" s="1125">
        <f t="shared" si="21"/>
        <v>487</v>
      </c>
      <c r="AB31" s="1125">
        <f t="shared" si="21"/>
        <v>1918</v>
      </c>
      <c r="AC31" s="1125">
        <f t="shared" si="21"/>
        <v>533</v>
      </c>
      <c r="AD31" s="1125">
        <f t="shared" si="21"/>
        <v>0</v>
      </c>
      <c r="AE31" s="1127">
        <f t="shared" si="21"/>
        <v>0</v>
      </c>
      <c r="AF31" s="1128">
        <f t="shared" si="21"/>
        <v>0</v>
      </c>
      <c r="AG31" s="1129">
        <f t="shared" si="21"/>
        <v>0</v>
      </c>
      <c r="AH31" s="1127">
        <f t="shared" si="21"/>
        <v>0</v>
      </c>
      <c r="AI31" s="1117">
        <f t="shared" si="21"/>
        <v>533</v>
      </c>
      <c r="AJ31" s="1117">
        <f t="shared" si="21"/>
        <v>0</v>
      </c>
      <c r="AK31" s="1127">
        <f t="shared" si="21"/>
        <v>0</v>
      </c>
      <c r="AL31" s="1183">
        <f>IF(ISNUMBER(NºAsuntos!G31/NºAsuntos!E31),NºAsuntos!G31/NºAsuntos!E31," - ")</f>
        <v>0.904097047379263</v>
      </c>
      <c r="AM31" s="1184">
        <f>IF(ISNUMBER(((NºAsuntos!I31/NºAsuntos!G31)*11)/factor_trimestre),((NºAsuntos!I31/NºAsuntos!G31)*11)/factor_trimestre," - ")</f>
        <v>4.9207594936708858</v>
      </c>
      <c r="AN31" s="1184">
        <f>IF(ISNUMBER('Resol  Asuntos'!D31/NºAsuntos!G31),'Resol  Asuntos'!D31/NºAsuntos!G31," - ")</f>
        <v>0.13493670886075948</v>
      </c>
      <c r="AO31" s="1185">
        <f>IF(ISNUMBER((NºAsuntos!C31+NºAsuntos!E31)/NºAsuntos!G31),(NºAsuntos!C31+NºAsuntos!E31)/NºAsuntos!G31," - ")</f>
        <v>1.4481012658227848</v>
      </c>
      <c r="AP31" s="1186" t="str">
        <f t="shared" si="2"/>
        <v xml:space="preserve"> - </v>
      </c>
      <c r="AQ31" s="1187">
        <f>IF(OR(ISNUMBER(FIND("01",Criterios!A8,1)),ISNUMBER(FIND("02",Criterios!A8,1)),ISNUMBER(FIND("03",Criterios!A8,1)),ISNUMBER(FIND("04",Criterios!A8,1))),(I31-W31+K31)/(F31-K31),(H31-W31+K31)/(F31-K31))</f>
        <v>-6.9299065420560746</v>
      </c>
      <c r="AR31" s="1188">
        <f>IF(ISNUMBER((Datos!P31-Datos!Q31)/(Datos!R31-Datos!P31+Datos!Q31)),(Datos!P31-Datos!Q31)/(Datos!R31-Datos!P31+Datos!Q31)," - ")</f>
        <v>0.10356731875719218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133.14285714285714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219.4708788579174</v>
      </c>
      <c r="G33" s="277">
        <f>IF(ISNUMBER(STDEV(G8:G30)),STDEV(G8:G30),"-")</f>
        <v>215.89536707351903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1326.6407271931687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135.54414146584975</v>
      </c>
      <c r="AJ33" s="276">
        <f t="shared" si="25"/>
        <v>0</v>
      </c>
      <c r="AK33" s="278">
        <f t="shared" si="25"/>
        <v>0</v>
      </c>
      <c r="AL33" s="273">
        <f t="shared" si="25"/>
        <v>0.13913360267736444</v>
      </c>
      <c r="AM33" s="274">
        <f t="shared" si="25"/>
        <v>6.3835587654824648</v>
      </c>
      <c r="AN33" s="274">
        <f t="shared" si="25"/>
        <v>0.31094153425641069</v>
      </c>
      <c r="AO33" s="275">
        <f t="shared" si="25"/>
        <v>0.57758633427483819</v>
      </c>
      <c r="AP33" s="317" t="str">
        <f t="shared" si="25"/>
        <v>-</v>
      </c>
      <c r="AQ33" s="318">
        <f t="shared" si="25"/>
        <v>1.7262700761361738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M0GAuGTio66NxNVpcCHPbdygLqySGzCKqbTJKQbe/7nMy9EeCv/kqf1ySnnh5BQzSQH/9GNYK6H3DPMqI7dybg==" saltValue="NNRXbdk3ft7CpkVkHe9o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LOS LLANOS DE ARIDANE</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-0.7142857142857143</v>
      </c>
      <c r="E10" s="393">
        <f>IF(ISNUMBER((Datos!J10-Datos!T10)/Datos!T10),(Datos!J10-Datos!T10)/Datos!T10," - ")</f>
        <v>0.1111111111111111</v>
      </c>
      <c r="F10" s="393">
        <f>IF(ISNUMBER((Datos!K10-Datos!U10)/Datos!U10),(Datos!K10-Datos!U10)/Datos!U10," - ")</f>
        <v>-0.35714285714285715</v>
      </c>
      <c r="G10" s="394">
        <f>IF(ISNUMBER((Datos!L10-Datos!V10)/Datos!V10),(Datos!L10-Datos!V10)/Datos!V10," - ")</f>
        <v>0.5</v>
      </c>
      <c r="H10" s="244">
        <f>IF(ISNUMBER((Datos!M10-Datos!W10)/Datos!W10),(Datos!M10-Datos!W10)/Datos!W10," - ")</f>
        <v>-0.2</v>
      </c>
      <c r="I10" s="395">
        <f>IF(ISNUMBER((Tasas!C10-Datos!BE10)/Datos!BE10),(Tasas!C10-Datos!BE10)/Datos!BE10," - ")</f>
        <v>1.3333333333333333</v>
      </c>
      <c r="J10" s="394">
        <f>IF(ISNUMBER((Tasas!D10-Datos!BF10)/Datos!BF10),(Tasas!D10-Datos!BF10)/Datos!BF10," - ")</f>
        <v>0.24444444444444435</v>
      </c>
      <c r="K10" s="396">
        <f>IF(ISNUMBER((Tasas!E10-Datos!BG10)/Datos!BG10),(Tasas!E10-Datos!BG10)/Datos!BG10," - ")</f>
        <v>0.16666666666666666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-7.6305220883534142E-2</v>
      </c>
      <c r="I12" s="395">
        <f>IF(ISNUMBER((Tasas!C12-Datos!BE12)/Datos!BE12),(Tasas!C12-Datos!BE12)/Datos!BE12," - ")</f>
        <v>0.550686693307611</v>
      </c>
      <c r="J12" s="394">
        <f>IF(ISNUMBER((Tasas!D12-Datos!BF12)/Datos!BF12),(Tasas!D12-Datos!BF12)/Datos!BF12," - ")</f>
        <v>0.1742644212156407</v>
      </c>
      <c r="K12" s="396">
        <f>IF(ISNUMBER((Tasas!E12-Datos!BG12)/Datos!BG12),(Tasas!E12-Datos!BG12)/Datos!BG12," - ")</f>
        <v>0.24387531092970074</v>
      </c>
      <c r="M12" t="e">
        <f>IF(Monitorios="SI",Datos!CE12,0)</f>
        <v>#REF!</v>
      </c>
      <c r="N12" t="e">
        <f>IF(Monitorios="SI",Datos!CF12,0)</f>
        <v>#REF!</v>
      </c>
      <c r="O12" t="e">
        <f>IF(Monitorios="SI",Datos!CG12,0)</f>
        <v>#REF!</v>
      </c>
      <c r="P12" t="e">
        <f>IF(Monitorios="SI",Datos!CH12,0)</f>
        <v>#REF!</v>
      </c>
      <c r="Q12">
        <f>IF(J_V="SI",0,Datos!AG12)</f>
        <v>35</v>
      </c>
      <c r="R12">
        <f>IF(J_V="SI",0,Datos!AH12)</f>
        <v>70</v>
      </c>
      <c r="S12">
        <f>IF(J_V="SI",0,Datos!AI12)</f>
        <v>54</v>
      </c>
      <c r="T12">
        <f>IF(J_V="SI",0,Datos!AJ12)</f>
        <v>51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-8.1081081081081086E-2</v>
      </c>
      <c r="I14" s="402">
        <f>IF(ISNUMBER((Tasas!C14-Datos!BE14)/Datos!BE14),(Tasas!C14-Datos!BE14)/Datos!BE14," - ")</f>
        <v>0.55715374021759989</v>
      </c>
      <c r="J14" s="400">
        <f>IF(ISNUMBER((Tasas!D14-Datos!BF14)/Datos!BF14),(Tasas!D14-Datos!BF14)/Datos!BF14," - ")</f>
        <v>0.16461594799963383</v>
      </c>
      <c r="K14" s="403">
        <f>IF(ISNUMBER((Tasas!E14-Datos!BG14)/Datos!BG14),(Tasas!E14-Datos!BG14)/Datos!BG14," - ")</f>
        <v>0.24536111230753785</v>
      </c>
      <c r="M14" t="e">
        <f>IF(Monitorios="SI",Datos!CE14,0)</f>
        <v>#REF!</v>
      </c>
      <c r="N14" t="e">
        <f>IF(Monitorios="SI",Datos!CF14,0)</f>
        <v>#REF!</v>
      </c>
      <c r="O14" t="e">
        <f>IF(Monitorios="SI",Datos!CG14,0)</f>
        <v>#REF!</v>
      </c>
      <c r="P14" t="e">
        <f>IF(Monitorios="SI",Datos!CH14,0)</f>
        <v>#REF!</v>
      </c>
      <c r="Q14">
        <f>IF(J_V="SI",0,Datos!AG14)</f>
        <v>35</v>
      </c>
      <c r="R14">
        <f>IF(J_V="SI",0,Datos!AH14)</f>
        <v>70</v>
      </c>
      <c r="S14">
        <f>IF(J_V="SI",0,Datos!AI14)</f>
        <v>54</v>
      </c>
      <c r="T14">
        <f>IF(J_V="SI",0,Datos!AJ14)</f>
        <v>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2.8503562945368172E-2</v>
      </c>
      <c r="E17" s="393">
        <f>IF(ISNUMBER(
   IF(D_I="SI",(Datos!J17-Datos!T17)/Datos!T17,(Datos!J17+Datos!AD17-(Datos!T17+Datos!AL17))/(Datos!T17+Datos!AL17))
     ),IF(D_I="SI",(Datos!J17-Datos!T17)/Datos!T17,(Datos!J17+Datos!AD17-(Datos!T17+Datos!AL17))/(Datos!T17+Datos!AL17))," - ")</f>
        <v>4.9789352738414403E-3</v>
      </c>
      <c r="F17" s="393">
        <f>IF(ISNUMBER(
   IF(D_I="SI",(Datos!K17-Datos!U17)/Datos!U17,(Datos!K17+Datos!AE17-(Datos!U17+Datos!AM17))/(Datos!U17+Datos!AM17))
     ),IF(D_I="SI",(Datos!K17-Datos!U17)/Datos!U17,(Datos!K17+Datos!AE17-(Datos!U17+Datos!AM17))/(Datos!U17+Datos!AM17))," - ")</f>
        <v>-1.5420200462606013E-3</v>
      </c>
      <c r="G17" s="394">
        <f>IF(ISNUMBER(
   IF(D_I="SI",(Datos!L17-Datos!V17)/Datos!V17,(Datos!L17+Datos!AF17-(Datos!V17+Datos!AN17))/(Datos!V17+Datos!AN17))
     ),IF(D_I="SI",(Datos!L17-Datos!V17)/Datos!V17,(Datos!L17+Datos!AF17-(Datos!V17+Datos!AN17))/(Datos!V17+Datos!AN17))," - ")</f>
        <v>6.2355658198614321E-2</v>
      </c>
      <c r="H17" s="244">
        <f>IF(ISNUMBER((Datos!M17-Datos!W17)/Datos!W17),(Datos!M17-Datos!W17)/Datos!W17," - ")</f>
        <v>9.7165991902834009E-2</v>
      </c>
      <c r="I17" s="395">
        <f>IF(ISNUMBER((Tasas!C17-Datos!BE17)/Datos!BE17),(Tasas!C17-Datos!BE17)/Datos!BE17," - ")</f>
        <v>6.3996361917839972E-2</v>
      </c>
      <c r="J17" s="394">
        <f>IF(ISNUMBER((Tasas!D17-Datos!BF17)/Datos!BF17),(Tasas!D17-Datos!BF17)/Datos!BF17," - ")</f>
        <v>9.8860456755193685E-2</v>
      </c>
      <c r="K17" s="396">
        <f>IF(ISNUMBER((Tasas!E17-Datos!BG17)/Datos!BG17),(Tasas!E17-Datos!BG17)/Datos!BG17," - ")</f>
        <v>9.8025183117532305E-3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v>
      </c>
      <c r="E18" s="393">
        <f>IF(ISNUMBER(
   IF(D_I="SI",(Datos!J18-Datos!T18)/Datos!T18,(Datos!J18+Datos!AD18-(Datos!T18+Datos!AL18))/(Datos!T18+Datos!AL18))
     ),IF(D_I="SI",(Datos!J18-Datos!T18)/Datos!T18,(Datos!J18+Datos!AD18-(Datos!T18+Datos!AL18))/(Datos!T18+Datos!AL18))," - ")</f>
        <v>0.27659574468085107</v>
      </c>
      <c r="F18" s="393">
        <f>IF(ISNUMBER(
   IF(D_I="SI",(Datos!K18-Datos!U18)/Datos!U18,(Datos!K18+Datos!AE18-(Datos!U18+Datos!AM18))/(Datos!U18+Datos!AM18))
     ),IF(D_I="SI",(Datos!K18-Datos!U18)/Datos!U18,(Datos!K18+Datos!AE18-(Datos!U18+Datos!AM18))/(Datos!U18+Datos!AM18))," - ")</f>
        <v>0.32971014492753625</v>
      </c>
      <c r="G18" s="394">
        <f>IF(ISNUMBER(
   IF(D_I="SI",(Datos!L18-Datos!V18)/Datos!V18,(Datos!L18+Datos!AF18-(Datos!V18+Datos!AN18))/(Datos!V18+Datos!AN18))
     ),IF(D_I="SI",(Datos!L18-Datos!V18)/Datos!V18,(Datos!L18+Datos!AF18-(Datos!V18+Datos!AN18))/(Datos!V18+Datos!AN18))," - ")</f>
        <v>-0.22580645161290322</v>
      </c>
      <c r="H18" s="244">
        <f>IF(ISNUMBER((Datos!M18-Datos!W18)/Datos!W18),(Datos!M18-Datos!W18)/Datos!W18," - ")</f>
        <v>-0.33333333333333331</v>
      </c>
      <c r="I18" s="395">
        <f>IF(ISNUMBER((Tasas!C18-Datos!BE18)/Datos!BE18),(Tasas!C18-Datos!BE18)/Datos!BE18," - ")</f>
        <v>-0.41777269930561667</v>
      </c>
      <c r="J18" s="394">
        <f>IF(ISNUMBER((Tasas!D18-Datos!BF18)/Datos!BF18),(Tasas!D18-Datos!BF18)/Datos!BF18," - ")</f>
        <v>-0.49863760217983655</v>
      </c>
      <c r="K18" s="396">
        <f>IF(ISNUMBER((Tasas!E18-Datos!BG18)/Datos!BG18),(Tasas!E18-Datos!BG18)/Datos!BG18," - ")</f>
        <v>-4.2185516867993836E-2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4.0358744394618833E-2</v>
      </c>
      <c r="E23" s="399">
        <f>IF(ISNUMBER(
   IF(D_I="SI",(Datos!J23-Datos!T23)/Datos!T23,(Datos!J23+Datos!AD23-(Datos!T23+Datos!AL23))/(Datos!T23+Datos!AL23))
     ),IF(D_I="SI",(Datos!J23-Datos!T23)/Datos!T23,(Datos!J23+Datos!AD23-(Datos!T23+Datos!AL23))/(Datos!T23+Datos!AL23))," - ")</f>
        <v>3.1455236778430692E-2</v>
      </c>
      <c r="F23" s="399">
        <f>IF(ISNUMBER(
   IF(D_I="SI",(Datos!K23-Datos!U23)/Datos!U23,(Datos!K23+Datos!AE23-(Datos!U23+Datos!AM23))/(Datos!U23+Datos!AM23))
     ),IF(D_I="SI",(Datos!K23-Datos!U23)/Datos!U23,(Datos!K23+Datos!AE23-(Datos!U23+Datos!AM23))/(Datos!U23+Datos!AM23))," - ")</f>
        <v>3.0313588850174215E-2</v>
      </c>
      <c r="G23" s="400">
        <f>IF(ISNUMBER(
   IF(D_I="SI",(Datos!L23-Datos!V23)/Datos!V23,(Datos!L23+Datos!AF23-(Datos!V23+Datos!AN23))/(Datos!V23+Datos!AN23))
     ),IF(D_I="SI",(Datos!L23-Datos!V23)/Datos!V23,(Datos!L23+Datos!AF23-(Datos!V23+Datos!AN23))/(Datos!V23+Datos!AN23))," - ")</f>
        <v>4.3103448275862072E-2</v>
      </c>
      <c r="H23" s="401">
        <f>IF(ISNUMBER((Datos!M23-Datos!W23)/Datos!W23),(Datos!M23-Datos!W23)/Datos!W23," - ")</f>
        <v>4.2402826855123678E-2</v>
      </c>
      <c r="I23" s="402">
        <f>IF(ISNUMBER((Tasas!C23-Datos!BE23)/Datos!BE23),(Tasas!C23-Datos!BE23)/Datos!BE23," - ")</f>
        <v>1.2413559875456342E-2</v>
      </c>
      <c r="J23" s="400">
        <f>IF(ISNUMBER((Tasas!D23-Datos!BF23)/Datos!BF23),(Tasas!D23-Datos!BF23)/Datos!BF23," - ")</f>
        <v>1.1733551935814997E-2</v>
      </c>
      <c r="K23" s="403">
        <f>IF(ISNUMBER((Tasas!E23-Datos!BG23)/Datos!BG23),(Tasas!E23-Datos!BG23)/Datos!BG23," - ")</f>
        <v>2.2623359700076106E-3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3.9230769230769229E-2</v>
      </c>
      <c r="E31" s="409">
        <f>IF(ISNUMBER(
   IF(J_V="SI",(Datos!J31-Datos!T31)/Datos!T31,(Datos!J31+Datos!Z31-(Datos!T31+Datos!AH31))/(Datos!T31+Datos!AH31))
     ),IF(J_V="SI",(Datos!J31-Datos!T31)/Datos!T31,(Datos!J31+Datos!Z31-(Datos!T31+Datos!AH31))/(Datos!T31+Datos!AH31))," - ")</f>
        <v>9.1431426430177362E-2</v>
      </c>
      <c r="F31" s="409">
        <f>IF(ISNUMBER(
   IF(J_V="SI",(Datos!K31-Datos!U31)/Datos!U31,(Datos!K31+Datos!AA31-(Datos!U31+Datos!AI31))/(Datos!U31+Datos!AI31))
     ),IF(J_V="SI",(Datos!K31-Datos!U31)/Datos!U31,(Datos!K31+Datos!AA31-(Datos!U31+Datos!AI31))/(Datos!U31+Datos!AI31))," - ")</f>
        <v>2.7925869510027927E-3</v>
      </c>
      <c r="G31" s="410">
        <f>IF(ISNUMBER(
   IF(J_V="SI",(Datos!L31-Datos!V31)/Datos!V31,(Datos!L31+Datos!AB31-(Datos!V31+Datos!AJ31))/(Datos!V31+Datos!AJ31))
     ),IF(J_V="SI",(Datos!L31-Datos!V31)/Datos!V31,(Datos!L31+Datos!AB31-(Datos!V31+Datos!AJ31))/(Datos!V31+Datos!AJ31))," - ")</f>
        <v>0.307920059215396</v>
      </c>
      <c r="H31" s="411">
        <f>IF(ISNUMBER((Datos!M31-Datos!W31)/Datos!W31),(Datos!M31-Datos!W31)/Datos!W31," - ")</f>
        <v>-1.6605166051660517E-2</v>
      </c>
      <c r="I31" s="408">
        <f>IF(ISNUMBER((Tasas!C31-Datos!BE31)/Datos!BE31),(Tasas!C31-Datos!BE31)/Datos!BE31," - ")</f>
        <v>0.30427775018973297</v>
      </c>
      <c r="J31" s="409">
        <f>IF(ISNUMBER((Tasas!D31-Datos!BF31)/Datos!BF31),(Tasas!D31-Datos!BF31)/Datos!BF31," - ")</f>
        <v>5.6691244935450469E-2</v>
      </c>
      <c r="K31" s="410">
        <f>IF(ISNUMBER((Tasas!E31-Datos!BG31)/Datos!BG31),(Tasas!E31-Datos!BG31)/Datos!BG31," - ")</f>
        <v>7.5630942122562522E-2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0.419981479058888</v>
      </c>
      <c r="E33" s="303">
        <f t="shared" si="1"/>
        <v>0.12232634470949366</v>
      </c>
      <c r="F33" s="303">
        <f t="shared" si="1"/>
        <v>0.28117648279853197</v>
      </c>
      <c r="G33" s="304">
        <f t="shared" si="1"/>
        <v>0.30038900022404424</v>
      </c>
      <c r="H33" s="310">
        <f t="shared" si="1"/>
        <v>0.15755576716417397</v>
      </c>
      <c r="I33" s="302">
        <f t="shared" si="1"/>
        <v>0.60586629924404678</v>
      </c>
      <c r="J33" s="303">
        <f t="shared" si="1"/>
        <v>0.27181402363521312</v>
      </c>
      <c r="K33" s="304">
        <f t="shared" si="1"/>
        <v>0.12966770720916482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gx+tGovoTonj7nM7nnCILmyci0wqvsKRBOj+jwv5PiTn1beu+/0TK0O6ypI010vkN8uUKYi4TdR1Zg9y1JAsA==" saltValue="bdakUyCuKtwS2Dq+Frezs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